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Professional\202403-02永合工程顧問-新光高中科技大樓-耐震補強設計及監造服務\08_報告(審查後定稿)\光碟-正修科大實驗幼兒園-「耐震能力補強設計」階段成果\03_招標文件-正修科大實驗幼兒園耐震補強工程\02_工程標清單\"/>
    </mc:Choice>
  </mc:AlternateContent>
  <xr:revisionPtr revIDLastSave="0" documentId="13_ncr:1_{4DA2DE76-C251-4392-9BD4-DDC1570802FA}" xr6:coauthVersionLast="36" xr6:coauthVersionMax="36" xr10:uidLastSave="{00000000-0000-0000-0000-000000000000}"/>
  <bookViews>
    <workbookView xWindow="0" yWindow="0" windowWidth="28800" windowHeight="10410" activeTab="2" xr2:uid="{00000000-000D-0000-FFFF-FFFF00000000}"/>
  </bookViews>
  <sheets>
    <sheet name="總表" sheetId="3" r:id="rId1"/>
    <sheet name="詳細價目表" sheetId="2" r:id="rId2"/>
    <sheet name="數量計算" sheetId="1" r:id="rId3"/>
  </sheets>
  <definedNames>
    <definedName name="_xlnm.Print_Area" localSheetId="1">詳細價目表!$A$1:$G$84</definedName>
    <definedName name="_xlnm.Print_Area" localSheetId="2">數量計算!$A$1:$F$42</definedName>
    <definedName name="_xlnm.Print_Area" localSheetId="0">總表!$B$2:$E$28</definedName>
    <definedName name="_xlnm.Print_Titles" localSheetId="1">詳細價目表!$1:$3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1" l="1"/>
  <c r="E4" i="1" l="1"/>
  <c r="E44" i="1" l="1"/>
  <c r="D66" i="2"/>
  <c r="E42" i="1"/>
  <c r="D67" i="2"/>
  <c r="D19" i="2"/>
  <c r="E37" i="1" l="1"/>
  <c r="E36" i="1"/>
  <c r="E35" i="1"/>
  <c r="E30" i="1"/>
  <c r="E29" i="1"/>
  <c r="E28" i="1"/>
  <c r="E27" i="1"/>
  <c r="E26" i="1"/>
  <c r="E24" i="1"/>
  <c r="E23" i="1"/>
  <c r="E22" i="1"/>
  <c r="D76" i="2" l="1"/>
  <c r="E43" i="1" l="1"/>
  <c r="E41" i="1" l="1"/>
  <c r="D72" i="2" s="1"/>
  <c r="D59" i="2" l="1"/>
  <c r="D55" i="2"/>
  <c r="D54" i="2"/>
  <c r="D53" i="2"/>
  <c r="D52" i="2"/>
  <c r="D48" i="2"/>
  <c r="D47" i="2"/>
  <c r="D46" i="2"/>
  <c r="D49" i="2"/>
  <c r="D29" i="2"/>
  <c r="E33" i="1"/>
  <c r="D58" i="2" s="1"/>
  <c r="E32" i="1"/>
  <c r="D57" i="2" s="1"/>
  <c r="E18" i="1"/>
  <c r="E12" i="1" l="1"/>
  <c r="D33" i="2" s="1"/>
  <c r="E31" i="1"/>
  <c r="D56" i="2" s="1"/>
  <c r="E20" i="1"/>
  <c r="E19" i="1"/>
  <c r="E17" i="1"/>
  <c r="E16" i="1"/>
  <c r="E15" i="1"/>
  <c r="E14" i="1"/>
  <c r="E25" i="1" l="1"/>
  <c r="D51" i="2" s="1"/>
  <c r="E13" i="1"/>
  <c r="E11" i="1"/>
  <c r="D32" i="2" s="1"/>
  <c r="H13" i="1" l="1"/>
  <c r="E10" i="1"/>
  <c r="E9" i="1"/>
  <c r="E8" i="1"/>
  <c r="E7" i="1"/>
  <c r="E5" i="1" l="1"/>
  <c r="D40" i="2" l="1"/>
  <c r="D35" i="2"/>
  <c r="D31" i="2"/>
  <c r="D64" i="2"/>
  <c r="D27" i="2"/>
  <c r="D26" i="2"/>
  <c r="D8" i="2"/>
  <c r="D41" i="2"/>
  <c r="D42" i="2"/>
  <c r="D43" i="2"/>
  <c r="D28" i="2"/>
  <c r="D36" i="2"/>
  <c r="D39" i="2"/>
  <c r="D34" i="2"/>
  <c r="D62" i="2" l="1"/>
  <c r="D63" i="2"/>
  <c r="D7" i="2" l="1"/>
  <c r="D38" i="2" l="1"/>
  <c r="D73" i="2" l="1"/>
  <c r="D65" i="2"/>
  <c r="D10" i="2" l="1"/>
  <c r="C3" i="3" l="1"/>
  <c r="C2" i="3"/>
</calcChain>
</file>

<file path=xl/sharedStrings.xml><?xml version="1.0" encoding="utf-8"?>
<sst xmlns="http://schemas.openxmlformats.org/spreadsheetml/2006/main" count="391" uniqueCount="229">
  <si>
    <t>項次</t>
  </si>
  <si>
    <t>工項</t>
  </si>
  <si>
    <t>數量計算式</t>
  </si>
  <si>
    <t>單位</t>
  </si>
  <si>
    <t>數量</t>
  </si>
  <si>
    <t>備註</t>
  </si>
  <si>
    <t>壹</t>
  </si>
  <si>
    <t>直接補強工程費用</t>
  </si>
  <si>
    <t>一</t>
  </si>
  <si>
    <t>假設工程</t>
  </si>
  <si>
    <t>施工圍籬</t>
  </si>
  <si>
    <t>M</t>
  </si>
  <si>
    <t>鋼管鷹架及防塵網</t>
  </si>
  <si>
    <t>M2</t>
  </si>
  <si>
    <t>二</t>
  </si>
  <si>
    <t>支</t>
  </si>
  <si>
    <t>T</t>
  </si>
  <si>
    <t>個</t>
  </si>
  <si>
    <t>場鑄結構混凝土用模板，普通，(乙種)</t>
  </si>
  <si>
    <t>M3</t>
  </si>
  <si>
    <t>基礎開挖(含牆、地坪切割敲除)</t>
  </si>
  <si>
    <t>四</t>
  </si>
  <si>
    <t>補強修復及雜項工程</t>
  </si>
  <si>
    <t>補強位置</t>
  </si>
  <si>
    <t>地坪及天花板及相關週邊復舊(含泥作及木作)</t>
  </si>
  <si>
    <t>無收縮水泥砂漿</t>
  </si>
  <si>
    <t>工程名稱</t>
  </si>
  <si>
    <t>施工地點</t>
  </si>
  <si>
    <t>項 次</t>
  </si>
  <si>
    <t>項 目 及 說 明</t>
  </si>
  <si>
    <t>單 位</t>
  </si>
  <si>
    <t>數 量</t>
  </si>
  <si>
    <t>單 價</t>
  </si>
  <si>
    <t>複 價</t>
  </si>
  <si>
    <t>編碼(備註)</t>
  </si>
  <si>
    <t>面</t>
  </si>
  <si>
    <t>015831000A,*</t>
  </si>
  <si>
    <t>室內防塵帆布</t>
  </si>
  <si>
    <t>包覆用塑膠袋</t>
  </si>
  <si>
    <t>卷</t>
  </si>
  <si>
    <t>鋼管鷹架、安全防塵網</t>
  </si>
  <si>
    <t>工程放樣費</t>
  </si>
  <si>
    <t>式</t>
  </si>
  <si>
    <t>臨時水電</t>
  </si>
  <si>
    <t>施工中交通安全設施及維護費</t>
  </si>
  <si>
    <t>施工動線地坪防護及復原</t>
  </si>
  <si>
    <t>器材設備搬遷包覆及復原費用</t>
  </si>
  <si>
    <t>小 計</t>
  </si>
  <si>
    <t>牆面及地坪切割</t>
  </si>
  <si>
    <t>人工打除混凝土及磚構材(含牆及地坪)</t>
  </si>
  <si>
    <t>廢棄物分類及合法清潔運棄</t>
  </si>
  <si>
    <t>檢附合法棄置證明</t>
  </si>
  <si>
    <t>處</t>
  </si>
  <si>
    <t>物料吊送及小搬運</t>
  </si>
  <si>
    <t>工</t>
  </si>
  <si>
    <t>鋼筋SD280W(含加工組立)</t>
  </si>
  <si>
    <t>噸</t>
  </si>
  <si>
    <t>結構用混凝土，預拌，280kgf/cm2</t>
  </si>
  <si>
    <t>015640D701,室外用,含出入大門</t>
    <phoneticPr fontId="6" type="noConversion"/>
  </si>
  <si>
    <t>CNS4750，含施工架計算簽證</t>
    <phoneticPr fontId="6" type="noConversion"/>
  </si>
  <si>
    <t>門窗拆除及更新工程</t>
  </si>
  <si>
    <t>既有門窗拆除運棄</t>
  </si>
  <si>
    <t>樘</t>
  </si>
  <si>
    <t>含紗窗、材料送審</t>
  </si>
  <si>
    <t>*</t>
  </si>
  <si>
    <t>材料送審</t>
  </si>
  <si>
    <t>貳</t>
  </si>
  <si>
    <t>修復工程費用</t>
  </si>
  <si>
    <t>耐久性損壞修復工程</t>
  </si>
  <si>
    <t>室內外刷綠建材環保漆(含走廊及梯間)</t>
  </si>
  <si>
    <t>層</t>
  </si>
  <si>
    <t>顏色由業主決定</t>
  </si>
  <si>
    <t>雜項工程</t>
  </si>
  <si>
    <t>完工前場地清潔</t>
  </si>
  <si>
    <t>工  作  項  目</t>
  </si>
  <si>
    <t>金額(元)</t>
  </si>
  <si>
    <t>小計</t>
  </si>
  <si>
    <t>合計(壹-貳)</t>
  </si>
  <si>
    <t>參</t>
  </si>
  <si>
    <t>職業安全衛生管理費</t>
  </si>
  <si>
    <t>肆</t>
  </si>
  <si>
    <t>品質管制作業費(含施工圖、竣工圖及照相紀錄製作)</t>
  </si>
  <si>
    <t>伍</t>
  </si>
  <si>
    <t>材料試驗費</t>
  </si>
  <si>
    <t>陸</t>
  </si>
  <si>
    <t>合計(壹-陸)</t>
  </si>
  <si>
    <t>柒</t>
  </si>
  <si>
    <t>營造綜合保險費</t>
  </si>
  <si>
    <t>(壹~貳)*0.3%</t>
  </si>
  <si>
    <t>捌</t>
  </si>
  <si>
    <t>營業稅</t>
  </si>
  <si>
    <t>(壹~柒)*5%</t>
  </si>
  <si>
    <t>合計(壹-捌)</t>
  </si>
  <si>
    <t>玖</t>
  </si>
  <si>
    <t>工程管理費</t>
  </si>
  <si>
    <t>拾</t>
  </si>
  <si>
    <t>(壹~柒)*0.35%</t>
  </si>
  <si>
    <t>材料抽驗費</t>
  </si>
  <si>
    <t>總計(壹~拾貳)</t>
  </si>
  <si>
    <t>M2</t>
    <phoneticPr fontId="6" type="noConversion"/>
  </si>
  <si>
    <t>地坪及天花板及相關週邊復舊(含泥作及木作)</t>
    <phoneticPr fontId="6" type="noConversion"/>
  </si>
  <si>
    <t>復舊後應測試原功能是否正常運作</t>
    <phoneticPr fontId="6" type="noConversion"/>
  </si>
  <si>
    <t>直接補強工程費用</t>
    <phoneticPr fontId="6" type="noConversion"/>
  </si>
  <si>
    <t>滲水白華修復</t>
  </si>
  <si>
    <t>裂縫灌注EPOXY</t>
  </si>
  <si>
    <t>(二度，含舊漆刮除)</t>
    <phoneticPr fontId="6" type="noConversion"/>
  </si>
  <si>
    <t>內部裝修活動架</t>
  </si>
  <si>
    <t>座</t>
  </si>
  <si>
    <t>二</t>
    <phoneticPr fontId="6" type="noConversion"/>
  </si>
  <si>
    <t>三</t>
    <phoneticPr fontId="6" type="noConversion"/>
  </si>
  <si>
    <t>(壹~貳)*1.0%</t>
    <phoneticPr fontId="6" type="noConversion"/>
  </si>
  <si>
    <t>(壹~貳)*10%</t>
    <phoneticPr fontId="6" type="noConversion"/>
  </si>
  <si>
    <t>補強處1:3水泥砂漿粉刷</t>
  </si>
  <si>
    <t>包商管理、利潤</t>
    <phoneticPr fontId="6" type="noConversion"/>
  </si>
  <si>
    <t>四</t>
    <phoneticPr fontId="6" type="noConversion"/>
  </si>
  <si>
    <t>補強處外牆防水層工料</t>
  </si>
  <si>
    <t>補強處外牆防水層工料</t>
    <phoneticPr fontId="6" type="noConversion"/>
  </si>
  <si>
    <t>粱柱體面層打毛6mm及高壓水清洗交界面</t>
  </si>
  <si>
    <t>新舊混凝土交界面(含基礎)</t>
  </si>
  <si>
    <t>鋼筋續接器</t>
  </si>
  <si>
    <t>混凝土泵送及輸送</t>
  </si>
  <si>
    <t>次</t>
  </si>
  <si>
    <t>擴柱基礎</t>
  </si>
  <si>
    <t>擴柱角隅防撞條</t>
  </si>
  <si>
    <t>新舊交界處表面防水(彈性水泥，厚度 t≧2mm)</t>
  </si>
  <si>
    <t>擴柱補強工程</t>
    <phoneticPr fontId="6" type="noConversion"/>
  </si>
  <si>
    <t>人工打除混凝土及磚構材  (含牆及地坪)</t>
  </si>
  <si>
    <t>工程告示牌及職業安全衛生告示牌</t>
    <phoneticPr fontId="6" type="noConversion"/>
  </si>
  <si>
    <t>補強處1:3水泥砂漿粉刷(含粉刷水泥漆)</t>
    <phoneticPr fontId="6" type="noConversion"/>
  </si>
  <si>
    <t>式</t>
    <phoneticPr fontId="6" type="noConversion"/>
  </si>
  <si>
    <t>屋頂層排水孔清理保持暢通</t>
    <phoneticPr fontId="6" type="noConversion"/>
  </si>
  <si>
    <t>四周排水溝清理保持暢通</t>
    <phoneticPr fontId="6" type="noConversion"/>
  </si>
  <si>
    <t>補強影響之既有各項管線線槽(含管線路)、雨遮版、鋁格柵防盜窗、投影機、喇叭音箱、監視系統、滅火器、電表箱、檔案櫃等及其他補強影響之項目配合現況遷移、修改整合及復原</t>
    <phoneticPr fontId="6" type="noConversion"/>
  </si>
  <si>
    <t>補強影響之管線、燈具、開關及插座等損壞處修復</t>
    <phoneticPr fontId="6" type="noConversion"/>
  </si>
  <si>
    <r>
      <t>施工圍籬，組合式活動，高度</t>
    </r>
    <r>
      <rPr>
        <sz val="12"/>
        <rFont val="Times New Roman"/>
        <family val="1"/>
      </rPr>
      <t>2.4m</t>
    </r>
  </si>
  <si>
    <t>#4鋼筋植筋</t>
    <phoneticPr fontId="6" type="noConversion"/>
  </si>
  <si>
    <t>擴柱基礎</t>
    <phoneticPr fontId="6" type="noConversion"/>
  </si>
  <si>
    <t>材料送審，顏色由機關決定</t>
    <phoneticPr fontId="6" type="noConversion"/>
  </si>
  <si>
    <t>材質同現況</t>
    <phoneticPr fontId="6" type="noConversion"/>
  </si>
  <si>
    <t>高雄市大寮區鳳屏一路217號</t>
    <phoneticPr fontId="6" type="noConversion"/>
  </si>
  <si>
    <t>基礎開挖(含牆、地坪切割敲除及回填壓實)</t>
    <phoneticPr fontId="6" type="noConversion"/>
  </si>
  <si>
    <t>補強處油漆復原(含批土)</t>
    <phoneticPr fontId="6" type="noConversion"/>
  </si>
  <si>
    <t>新光學校財團法人高雄市新光高級中學科技大樓建築物耐震能力補強設計</t>
    <phoneticPr fontId="6" type="noConversion"/>
  </si>
  <si>
    <t>roundup(1.8*1.83*(2*4+6*3)*rounddown(15.15/1.83,0),0)</t>
    <phoneticPr fontId="6" type="noConversion"/>
  </si>
  <si>
    <t>6*round(0.8/0.1,0)*6*4</t>
    <phoneticPr fontId="6" type="noConversion"/>
  </si>
  <si>
    <t>翼牆補強工程</t>
    <phoneticPr fontId="6" type="noConversion"/>
  </si>
  <si>
    <t>粱柱體面層打毛6mm及高壓水清洗交界面</t>
    <phoneticPr fontId="6" type="noConversion"/>
  </si>
  <si>
    <t>新舊混凝土交界面(含基礎)</t>
    <phoneticPr fontId="6" type="noConversion"/>
  </si>
  <si>
    <r>
      <t>結構用混凝土，預拌，280kgf/cm</t>
    </r>
    <r>
      <rPr>
        <vertAlign val="superscript"/>
        <sz val="12"/>
        <rFont val="細明體"/>
        <family val="3"/>
        <charset val="136"/>
      </rPr>
      <t>2</t>
    </r>
    <phoneticPr fontId="6" type="noConversion"/>
  </si>
  <si>
    <t>翼牆基礎</t>
    <phoneticPr fontId="6" type="noConversion"/>
  </si>
  <si>
    <t>五</t>
    <phoneticPr fontId="6" type="noConversion"/>
  </si>
  <si>
    <t>翼牆補強工程</t>
  </si>
  <si>
    <t>牆面及地坪切割</t>
    <phoneticPr fontId="6" type="noConversion"/>
  </si>
  <si>
    <t>人工打除混凝土及磚構材  (含牆及地坪)</t>
    <phoneticPr fontId="6" type="noConversion"/>
  </si>
  <si>
    <t>廢棄物分類及合法清潔運棄</t>
    <phoneticPr fontId="6" type="noConversion"/>
  </si>
  <si>
    <t>M3</t>
    <phoneticPr fontId="6" type="noConversion"/>
  </si>
  <si>
    <t>#4鋼筋植水平筋</t>
    <phoneticPr fontId="6" type="noConversion"/>
  </si>
  <si>
    <t>#4鋼筋植垂直筋</t>
    <phoneticPr fontId="6" type="noConversion"/>
  </si>
  <si>
    <t>鋼筋SD280W(含加工組立)</t>
    <phoneticPr fontId="6" type="noConversion"/>
  </si>
  <si>
    <t>場鑄結構混凝土用模板，普通，(乙種)結構用混凝土，預拌，280kgf/cm2</t>
  </si>
  <si>
    <t>無收縮水泥砂漿</t>
    <phoneticPr fontId="6" type="noConversion"/>
  </si>
  <si>
    <t>翼牆基礎</t>
  </si>
  <si>
    <t>鋼筋 SD280W(含加工組立)</t>
    <phoneticPr fontId="6" type="noConversion"/>
  </si>
  <si>
    <t>翼牆基礎及地坪鋼筋</t>
    <phoneticPr fontId="6" type="noConversion"/>
  </si>
  <si>
    <t>roundup(6*3*4+2*6*4*1+3*6*2*(1+1.2),0)</t>
    <phoneticPr fontId="6" type="noConversion"/>
  </si>
  <si>
    <t>roundup(6*3*3+2*6*4*1*0.3+3*6*(1*1.2-0.4*0.5),0)</t>
    <phoneticPr fontId="6" type="noConversion"/>
  </si>
  <si>
    <t>roundup(6*3*3*1+2*6*4*1*0.3*0.24+3*6*(1*1.2-0.4*0.5)*0.12,0)</t>
    <phoneticPr fontId="6" type="noConversion"/>
  </si>
  <si>
    <t>ROUNDUP(6*ROUNDUP((15.15+1+1.05-0.15-0.6*3)/0.1,0)*(4*(1.1+0.084+0.078)+4*(0.9+0.084+0.078)+2*(1.1+0.9+0.084+0.078))*0.994/1000,1)+6*ROUNDUP((0.6*3)/0.1,0)*ROUNDUP((4*(0.26+0.084+0.078)+4*(0.45+0.084+0.078)+2*(1.1+0.9+0.084+0.078-3*0.3+6*0.15))*0.994/1000,1)</t>
    <phoneticPr fontId="6" type="noConversion"/>
  </si>
  <si>
    <t>ROUNDUP(6*20*(15.15+1+1.05-0.15)*6.39/1000,1)</t>
    <phoneticPr fontId="6" type="noConversion"/>
  </si>
  <si>
    <t>6*20*3</t>
    <phoneticPr fontId="6" type="noConversion"/>
  </si>
  <si>
    <t>2*2*(ROUNDUP((15.15-0.12)/0.15,0))</t>
    <phoneticPr fontId="6" type="noConversion"/>
  </si>
  <si>
    <t>roundup(6*15.15*2*(1+1.2),0)</t>
    <phoneticPr fontId="6" type="noConversion"/>
  </si>
  <si>
    <t>roundup(6*15.15*(1*1.2-0.4*0.5),0)</t>
    <phoneticPr fontId="6" type="noConversion"/>
  </si>
  <si>
    <r>
      <t>結構用混凝土，預拌，280kgf/cm</t>
    </r>
    <r>
      <rPr>
        <vertAlign val="superscript"/>
        <sz val="12"/>
        <color theme="1"/>
        <rFont val="細明體"/>
        <family val="3"/>
        <charset val="136"/>
      </rPr>
      <t>2</t>
    </r>
    <phoneticPr fontId="6" type="noConversion"/>
  </si>
  <si>
    <t>roundup(6*0.2*(1*1.2-0.4*0.5),0)</t>
    <phoneticPr fontId="6" type="noConversion"/>
  </si>
  <si>
    <t>roundup(6*3*3*1,0)</t>
    <phoneticPr fontId="6" type="noConversion"/>
  </si>
  <si>
    <t>4*(4*3+2*3)</t>
    <phoneticPr fontId="6" type="noConversion"/>
  </si>
  <si>
    <t>roundup(2*1.2*1.2*1,0)</t>
    <phoneticPr fontId="6" type="noConversion"/>
  </si>
  <si>
    <t>roundup(6*(roundup(3/0.15,0)*(3+0.4*2)*2*1.56/1000+roundup(3/0.15,0)*(3+0.3*2)*2*0.994/1000),1)</t>
    <phoneticPr fontId="6" type="noConversion"/>
  </si>
  <si>
    <t>roundup(2*(roundup(1.2/0.15,0)*(1.2+0.4*2)*2*1.56/1000+roundup(1.2/0.15,0)*(1.2+0.3*2)*2*0.994/1000),1)</t>
    <phoneticPr fontId="6" type="noConversion"/>
  </si>
  <si>
    <t>roundup(2*1.1*1.2*1,0)</t>
    <phoneticPr fontId="6" type="noConversion"/>
  </si>
  <si>
    <t>擴柱鋼筋SD420W(含加工組立)</t>
  </si>
  <si>
    <t>擴柱鋼筋SD280W(含加工組立)</t>
  </si>
  <si>
    <t>基礎開挖(含牆、地坪切割敲除)</t>
    <phoneticPr fontId="6" type="noConversion"/>
  </si>
  <si>
    <t>基礎鋼筋 SD280W(含加工組立)</t>
    <phoneticPr fontId="6" type="noConversion"/>
  </si>
  <si>
    <t>基礎結構用混凝土，預拌，280kgf/cm2</t>
    <phoneticPr fontId="6" type="noConversion"/>
  </si>
  <si>
    <t>擴柱</t>
  </si>
  <si>
    <t>鋼筋SD280W(含加工組立)</t>
    <phoneticPr fontId="6" type="noConversion"/>
  </si>
  <si>
    <t>結構用混凝土，預拌，280kgf/cm2</t>
    <phoneticPr fontId="6" type="noConversion"/>
  </si>
  <si>
    <t>翼牆</t>
  </si>
  <si>
    <t>翼牆</t>
    <phoneticPr fontId="6" type="noConversion"/>
  </si>
  <si>
    <t>鋼筋SD420W(含加工組立)</t>
    <phoneticPr fontId="6" type="noConversion"/>
  </si>
  <si>
    <t>翼牆補強工程</t>
    <phoneticPr fontId="6" type="noConversion"/>
  </si>
  <si>
    <t>五</t>
    <phoneticPr fontId="6" type="noConversion"/>
  </si>
  <si>
    <t>照片1F-08~11、13、21、30、32~35、照片2F-07~10、照片3F-19~20、照片4F-09、13~14、20、28~29、33、35~37、42、46、50、52、55、58、60、61~63、照片RF-3</t>
    <phoneticPr fontId="6" type="noConversion"/>
  </si>
  <si>
    <t>照片1F-08、10、14、16、17、20、24、29、35、42、照片2F-04、06、照片3F-20、照片4F-30、32、34、36、38~42、46~51、53~54、59~60、63</t>
    <phoneticPr fontId="6" type="noConversion"/>
  </si>
  <si>
    <t>ROUNDUP(2.5*0.4+2*0.5+8*1.2+4*0.6+0.15*0.25+4*2.5+2*1.2+1.6*1.2*2.5*0.7+1*0.45+2*3.6+2*2.5+4*0.1+5*0.1+4*1+0.6*2.2+2*0.3+0.2*0.3+0.3*0.9+2*1+0.9*0.3+3*2+1.5*2.5+0.8*0.9+4*2+0.3*0.3+0.4*0.6+1.8*2+0.3*0.9+0.75*1+1.7*0.2+4*2+0.3*3.2+0.8*2+1.8*0.45+2.4*0.2+1.8*0.45+1.5*0.9+0.25*0.45+7.5*2.5,0)</t>
    <phoneticPr fontId="6" type="noConversion"/>
  </si>
  <si>
    <t>照片4F-04、13~14、19~20、33、35、42~45、55、62</t>
    <phoneticPr fontId="6" type="noConversion"/>
  </si>
  <si>
    <t>4樓梁及頂板碳纖維包覆</t>
    <phoneticPr fontId="6" type="noConversion"/>
  </si>
  <si>
    <t>ROUNDUP(94.4*(8+2.5)+2*2*94.4*(0.6-0.12)+2*2*94.4*(0.5-0.12)+20*8*(0.8-0.12)+2*20*2.5*(0.6-0.12),0)</t>
    <phoneticPr fontId="6" type="noConversion"/>
  </si>
  <si>
    <t>屋頂層防水施作</t>
    <phoneticPr fontId="6" type="noConversion"/>
  </si>
  <si>
    <t>roundup(3*2*2*(0.3+0.7)+2*2*4*1+2*1.2*4,0)</t>
    <phoneticPr fontId="6" type="noConversion"/>
  </si>
  <si>
    <t>roundup(3*2*0.3*0.7+2*4*1*0.7+2*1.2*1.2,0)</t>
    <phoneticPr fontId="6" type="noConversion"/>
  </si>
  <si>
    <t>roundup(3*2*0.3*0.7*0.12+2*4*1*0.7*0.24+2*1.2*1.2*1,0)</t>
    <phoneticPr fontId="6" type="noConversion"/>
  </si>
  <si>
    <t>2*4*4*roundup(0.7/0.1-1,0)</t>
    <phoneticPr fontId="6" type="noConversion"/>
  </si>
  <si>
    <t>ROUNDUP(2*(ROUNDUP((15.15-0.12)/0.15,0))*2*(0.75+0.25)*0.994/1000+2*2*ROUNDUP(0.7/0.1-1,0)*(15.15+1.5)*0.994/1000+2*2*(ROUNDUP((15.15-0.12)/0.15,0)+2*4*4*ROUNDUP(0.7/0.1-1,0))*(0.3+0.15)*0.994/1000,1)</t>
    <phoneticPr fontId="6" type="noConversion"/>
  </si>
  <si>
    <t>roundup(2*2*15.15*0.7+2*15.15*0.3,0)</t>
    <phoneticPr fontId="6" type="noConversion"/>
  </si>
  <si>
    <t>roundup(2*15.15*0.7*0.3,0)</t>
    <phoneticPr fontId="6" type="noConversion"/>
  </si>
  <si>
    <t>roundup(2*0.3*0.7*0.2,1)</t>
    <phoneticPr fontId="6" type="noConversion"/>
  </si>
  <si>
    <t>roundup(6*15.15*2*(1+1.2)+2*15.15*2*(0.7+0.3),0)</t>
    <phoneticPr fontId="6" type="noConversion"/>
  </si>
  <si>
    <t>roundup(6*15.15*(1+1.1+2*0.3)+2*15.15*(0.7+0.3),0)</t>
    <phoneticPr fontId="6" type="noConversion"/>
  </si>
  <si>
    <t>roundup(6*4*(1.2*1.4-0.4*0.5)+(3*3-0.4*0.5)*6+2*4*(0.5*0.9-0.3*0.7)+(1.2*1.2-0.3*0.8)*2,0)</t>
    <phoneticPr fontId="6" type="noConversion"/>
  </si>
  <si>
    <t>鋁窗W1N</t>
    <phoneticPr fontId="6" type="noConversion"/>
  </si>
  <si>
    <t>鋁窗W2N</t>
    <phoneticPr fontId="6" type="noConversion"/>
  </si>
  <si>
    <t>鋁門DN</t>
    <phoneticPr fontId="6" type="noConversion"/>
  </si>
  <si>
    <t>含紗門、材料送審</t>
    <phoneticPr fontId="6" type="noConversion"/>
  </si>
  <si>
    <t>ROUNDUP(2.5+8*0.35+0.35+0.5+0.7+2*0.3+0.5+2*4+4+1+0.8+1.7+0.45+2+2*0.2+0.5+1.2+2.7+2.6+1.2+0.3+0.2+0.3+0.6+0.45+2.6+2+3+1.8+2.5+0.7+1+1.8+2+1.5+2+0.6+1.6+1.5+1+2*0.6+0.75+3.5+1.8+2.4+0.45,0)+6*ROUNDUP(3.9+0.9+2+0.7+0.9+0.9+0.9+0.3+0.6+1.8+0.9+3.2+1.5,0)</t>
    <phoneticPr fontId="6" type="noConversion"/>
  </si>
  <si>
    <t>後側既有鋼棚修復</t>
    <phoneticPr fontId="6" type="noConversion"/>
  </si>
  <si>
    <t>ROUNDUP(1.1*94.4*(8+2.5)+1.1*(2*94.4+2*(8+2.5))*0.3,0)</t>
    <phoneticPr fontId="6" type="noConversion"/>
  </si>
  <si>
    <t>鋁窗W3N</t>
    <phoneticPr fontId="6" type="noConversion"/>
  </si>
  <si>
    <t>roundup(2.25+7+95,0)</t>
    <phoneticPr fontId="6" type="noConversion"/>
  </si>
  <si>
    <t>依圖SK-04，TYPE F 損壞修復方式</t>
    <phoneticPr fontId="6" type="noConversion"/>
  </si>
  <si>
    <t>空氣污染防治費</t>
    <phoneticPr fontId="6" type="noConversion"/>
  </si>
  <si>
    <r>
      <t xml:space="preserve">(壹~陸)*3%
</t>
    </r>
    <r>
      <rPr>
        <sz val="10"/>
        <color rgb="FFC00000"/>
        <rFont val="細明體"/>
        <family val="3"/>
        <charset val="136"/>
      </rPr>
      <t>若校方不需編列工程管理費，可刪除此項。</t>
    </r>
    <phoneticPr fontId="6" type="noConversion"/>
  </si>
  <si>
    <t>鋼筋裸露除銹處理及混凝土剝落修復</t>
    <phoneticPr fontId="6" type="noConversion"/>
  </si>
  <si>
    <t>窗台及隔間牆切割隔離縫-新舊交界處表面防水</t>
  </si>
  <si>
    <t>照片4F-04、13~14、19~20、33、35、42~45、55、62
(因考慮到鋼筋裸露範圍可能較目視所見範圍大，故保守取8倍面積)</t>
    <phoneticPr fontId="6" type="noConversion"/>
  </si>
  <si>
    <t>8*ROUNDUP(3.9*0.3+0.3*0.9+2*1+0.25*0.7+0.9*0.3+0.3*0.9+0.8*0.9+0.3*0.3+0.4*0.6+1.8*2+0.3*0.9+0.3*3.2+1.5*0.9,0)</t>
    <phoneticPr fontId="6" type="noConversion"/>
  </si>
  <si>
    <t>包含既有防水層刨除及運棄</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</si>
</sst>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00_ "/>
    <numFmt numFmtId="178" formatCode="_-* #,##0_-;\-* #,##0_-;_-* &quot;-&quot;??_-;_-@_-"/>
    <numFmt numFmtId="181" formatCode="0.0_ "/>
  </numFmts>
  <fonts count="20">
    <font>
      <sz val="11"/>
      <color theme="1"/>
      <name val="新細明體"/>
      <family val="2"/>
      <scheme val="minor"/>
    </font>
    <font>
      <sz val="12"/>
      <color theme="1"/>
      <name val="細明體"/>
      <family val="3"/>
      <charset val="136"/>
    </font>
    <font>
      <sz val="14"/>
      <color theme="1"/>
      <name val="細明體"/>
      <family val="3"/>
      <charset val="136"/>
    </font>
    <font>
      <b/>
      <sz val="12"/>
      <color theme="1"/>
      <name val="細明體"/>
      <family val="3"/>
      <charset val="136"/>
    </font>
    <font>
      <sz val="10"/>
      <color theme="1"/>
      <name val="Times New Roman"/>
      <family val="1"/>
    </font>
    <font>
      <sz val="12"/>
      <color theme="1"/>
      <name val="Times New Roman"/>
      <family val="1"/>
    </font>
    <font>
      <sz val="9"/>
      <name val="新細明體"/>
      <family val="3"/>
      <charset val="136"/>
      <scheme val="minor"/>
    </font>
    <font>
      <sz val="10"/>
      <color theme="1"/>
      <name val="細明體"/>
      <family val="3"/>
      <charset val="136"/>
    </font>
    <font>
      <b/>
      <sz val="10"/>
      <color theme="1"/>
      <name val="細明體"/>
      <family val="3"/>
      <charset val="136"/>
    </font>
    <font>
      <sz val="12"/>
      <name val="新細明體"/>
      <family val="1"/>
      <charset val="136"/>
    </font>
    <font>
      <sz val="12"/>
      <name val="Times New Roman"/>
      <family val="1"/>
    </font>
    <font>
      <sz val="10"/>
      <name val="Helv"/>
      <family val="2"/>
    </font>
    <font>
      <sz val="11"/>
      <color theme="1"/>
      <name val="新細明體"/>
      <family val="2"/>
      <scheme val="minor"/>
    </font>
    <font>
      <sz val="12"/>
      <name val="細明體"/>
      <family val="3"/>
      <charset val="136"/>
    </font>
    <font>
      <sz val="11"/>
      <name val="新細明體"/>
      <family val="2"/>
      <scheme val="minor"/>
    </font>
    <font>
      <b/>
      <sz val="12"/>
      <name val="細明體"/>
      <family val="3"/>
      <charset val="136"/>
    </font>
    <font>
      <sz val="12"/>
      <name val="新細明體"/>
      <family val="2"/>
      <scheme val="minor"/>
    </font>
    <font>
      <vertAlign val="superscript"/>
      <sz val="12"/>
      <name val="細明體"/>
      <family val="3"/>
      <charset val="136"/>
    </font>
    <font>
      <vertAlign val="superscript"/>
      <sz val="12"/>
      <color theme="1"/>
      <name val="細明體"/>
      <family val="3"/>
      <charset val="136"/>
    </font>
    <font>
      <sz val="10"/>
      <color rgb="FFC00000"/>
      <name val="細明體"/>
      <family val="3"/>
      <charset val="136"/>
    </font>
  </fonts>
  <fills count="3">
    <fill>
      <patternFill patternType="none"/>
    </fill>
    <fill>
      <patternFill patternType="gray125"/>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9" fillId="0" borderId="0">
      <alignment vertical="center"/>
    </xf>
    <xf numFmtId="43" fontId="9" fillId="0" borderId="0" applyFont="0" applyFill="0" applyBorder="0" applyAlignment="0" applyProtection="0">
      <alignment vertical="center"/>
    </xf>
    <xf numFmtId="0" fontId="11" fillId="0" borderId="0"/>
    <xf numFmtId="43" fontId="12" fillId="0" borderId="0" applyFont="0" applyFill="0" applyBorder="0" applyAlignment="0" applyProtection="0">
      <alignment vertical="center"/>
    </xf>
    <xf numFmtId="43" fontId="9" fillId="0" borderId="0" applyFont="0" applyFill="0" applyBorder="0" applyAlignment="0" applyProtection="0">
      <alignment vertical="center"/>
    </xf>
    <xf numFmtId="43" fontId="12" fillId="0" borderId="0" applyFont="0" applyFill="0" applyBorder="0" applyAlignment="0" applyProtection="0">
      <alignment vertical="center"/>
    </xf>
  </cellStyleXfs>
  <cellXfs count="81">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left" vertical="center" wrapText="1" indent="3"/>
    </xf>
    <xf numFmtId="0" fontId="2" fillId="0" borderId="1" xfId="0" applyFont="1" applyBorder="1" applyAlignment="1">
      <alignment horizontal="center" vertical="center" wrapText="1"/>
    </xf>
    <xf numFmtId="0" fontId="2" fillId="0" borderId="1" xfId="0" applyFont="1" applyBorder="1" applyAlignment="1">
      <alignment horizontal="left" vertical="center" wrapText="1" indent="2"/>
    </xf>
    <xf numFmtId="0" fontId="3" fillId="0" borderId="1" xfId="0" applyFont="1" applyBorder="1" applyAlignment="1">
      <alignment horizontal="center" vertical="center" wrapText="1"/>
    </xf>
    <xf numFmtId="0" fontId="1" fillId="0" borderId="1" xfId="0" applyFont="1" applyBorder="1" applyAlignment="1">
      <alignment horizontal="right" vertical="center" wrapText="1"/>
    </xf>
    <xf numFmtId="0" fontId="4" fillId="0" borderId="1" xfId="0" applyFont="1" applyBorder="1" applyAlignment="1">
      <alignment vertical="center" wrapText="1"/>
    </xf>
    <xf numFmtId="0" fontId="0" fillId="0" borderId="1" xfId="0" applyBorder="1"/>
    <xf numFmtId="0" fontId="1"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2"/>
    </xf>
    <xf numFmtId="0" fontId="7" fillId="0" borderId="1" xfId="0" applyFont="1" applyBorder="1" applyAlignment="1">
      <alignment horizontal="right" vertical="center" wrapText="1"/>
    </xf>
    <xf numFmtId="3" fontId="7" fillId="0" borderId="1" xfId="0" applyNumberFormat="1" applyFont="1" applyBorder="1" applyAlignment="1">
      <alignment horizontal="right" vertical="center" wrapText="1"/>
    </xf>
    <xf numFmtId="0" fontId="8" fillId="0" borderId="1" xfId="0" applyFont="1" applyBorder="1" applyAlignment="1">
      <alignment horizontal="left" vertical="center" wrapText="1" indent="1"/>
    </xf>
    <xf numFmtId="3" fontId="8" fillId="0" borderId="1" xfId="0" applyNumberFormat="1" applyFont="1" applyBorder="1" applyAlignment="1">
      <alignment horizontal="right" vertical="center" wrapText="1"/>
    </xf>
    <xf numFmtId="0" fontId="8" fillId="0" borderId="1" xfId="0" applyFont="1" applyBorder="1" applyAlignment="1">
      <alignment vertical="center" wrapText="1"/>
    </xf>
    <xf numFmtId="3" fontId="7" fillId="0" borderId="1" xfId="0" applyNumberFormat="1" applyFont="1" applyFill="1" applyBorder="1" applyAlignment="1">
      <alignment horizontal="right" vertical="center" wrapText="1"/>
    </xf>
    <xf numFmtId="0" fontId="0" fillId="0" borderId="1" xfId="0" applyBorder="1" applyAlignment="1">
      <alignment horizontal="center" vertical="top" wrapText="1"/>
    </xf>
    <xf numFmtId="0" fontId="1" fillId="0" borderId="1" xfId="0" applyFont="1" applyBorder="1" applyAlignment="1">
      <alignment vertical="center" wrapText="1"/>
    </xf>
    <xf numFmtId="0" fontId="5" fillId="0" borderId="1" xfId="0" applyFont="1" applyBorder="1" applyAlignment="1">
      <alignment vertical="center" wrapText="1"/>
    </xf>
    <xf numFmtId="0" fontId="0" fillId="0" borderId="0" xfId="0" applyBorder="1"/>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0" borderId="0" xfId="0" applyFont="1"/>
    <xf numFmtId="0" fontId="13" fillId="0" borderId="1" xfId="0" applyFont="1" applyBorder="1" applyAlignment="1">
      <alignment horizontal="left" vertical="center" wrapText="1" indent="5"/>
    </xf>
    <xf numFmtId="0" fontId="13" fillId="0" borderId="1" xfId="0" applyFont="1" applyBorder="1" applyAlignment="1">
      <alignment horizontal="left" vertical="center" wrapText="1" indent="1"/>
    </xf>
    <xf numFmtId="0" fontId="13" fillId="0" borderId="1" xfId="0" applyFont="1" applyBorder="1" applyAlignment="1">
      <alignment horizontal="left" vertical="center" wrapText="1" indent="2"/>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indent="1"/>
    </xf>
    <xf numFmtId="0" fontId="10" fillId="0" borderId="1" xfId="0" applyFont="1" applyBorder="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vertical="center" wrapText="1"/>
    </xf>
    <xf numFmtId="0" fontId="13" fillId="0" borderId="1" xfId="0" applyFont="1" applyBorder="1" applyAlignment="1">
      <alignment horizontal="right" vertical="center" wrapText="1"/>
    </xf>
    <xf numFmtId="3" fontId="13" fillId="0" borderId="1" xfId="0" applyNumberFormat="1" applyFont="1" applyBorder="1" applyAlignment="1">
      <alignment horizontal="right" vertical="center" wrapText="1"/>
    </xf>
    <xf numFmtId="3" fontId="15" fillId="0" borderId="1" xfId="0" applyNumberFormat="1" applyFont="1" applyBorder="1" applyAlignment="1">
      <alignment horizontal="right" vertical="center" wrapText="1"/>
    </xf>
    <xf numFmtId="178" fontId="13" fillId="0" borderId="1" xfId="4" applyNumberFormat="1" applyFont="1" applyBorder="1" applyAlignment="1">
      <alignment horizontal="right" vertical="center" wrapText="1"/>
    </xf>
    <xf numFmtId="0" fontId="16" fillId="0" borderId="2" xfId="0" applyFont="1" applyBorder="1"/>
    <xf numFmtId="0" fontId="16" fillId="0" borderId="1" xfId="0" applyFont="1" applyBorder="1"/>
    <xf numFmtId="0" fontId="7" fillId="0" borderId="1" xfId="0" applyFont="1" applyBorder="1" applyAlignment="1">
      <alignment vertical="center" wrapText="1"/>
    </xf>
    <xf numFmtId="0" fontId="1" fillId="0"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vertical="center" wrapText="1"/>
    </xf>
    <xf numFmtId="0" fontId="7" fillId="0" borderId="1" xfId="0" applyFont="1" applyBorder="1" applyAlignment="1">
      <alignment vertical="center" wrapText="1"/>
    </xf>
    <xf numFmtId="0" fontId="13" fillId="0" borderId="1" xfId="0" applyFont="1" applyBorder="1" applyAlignment="1">
      <alignment vertical="center" wrapText="1"/>
    </xf>
    <xf numFmtId="0" fontId="5" fillId="0" borderId="1" xfId="0" applyFont="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10" fillId="0" borderId="1" xfId="0" applyFont="1" applyFill="1" applyBorder="1" applyAlignment="1">
      <alignment vertical="center" wrapText="1"/>
    </xf>
    <xf numFmtId="0" fontId="13" fillId="0" borderId="1" xfId="0" applyFont="1" applyFill="1" applyBorder="1" applyAlignment="1">
      <alignment horizontal="left" vertical="center" wrapText="1"/>
    </xf>
    <xf numFmtId="181" fontId="13" fillId="0" borderId="1" xfId="0" applyNumberFormat="1" applyFont="1" applyFill="1" applyBorder="1" applyAlignment="1">
      <alignment horizontal="right" vertical="center" wrapText="1"/>
    </xf>
    <xf numFmtId="0" fontId="1" fillId="0" borderId="1" xfId="0" applyFont="1" applyFill="1" applyBorder="1" applyAlignment="1">
      <alignment horizontal="right" vertical="center" wrapText="1"/>
    </xf>
    <xf numFmtId="0" fontId="5" fillId="0" borderId="1" xfId="0" applyFont="1" applyFill="1" applyBorder="1" applyAlignment="1">
      <alignment vertical="center" wrapText="1"/>
    </xf>
    <xf numFmtId="0" fontId="0" fillId="0" borderId="0" xfId="0" applyFill="1"/>
    <xf numFmtId="176" fontId="0" fillId="0" borderId="1" xfId="0" applyNumberFormat="1" applyBorder="1" applyAlignment="1">
      <alignment wrapText="1"/>
    </xf>
    <xf numFmtId="0" fontId="13" fillId="0" borderId="1" xfId="0" applyFont="1" applyFill="1" applyBorder="1" applyAlignment="1">
      <alignment horizontal="left" vertical="center" wrapText="1" indent="1"/>
    </xf>
    <xf numFmtId="3" fontId="13" fillId="0" borderId="1" xfId="0" applyNumberFormat="1" applyFont="1" applyFill="1" applyBorder="1" applyAlignment="1">
      <alignment horizontal="right" vertical="center" wrapText="1"/>
    </xf>
    <xf numFmtId="0" fontId="14" fillId="0" borderId="0" xfId="0" applyFont="1" applyFill="1"/>
    <xf numFmtId="0" fontId="13" fillId="0" borderId="1" xfId="0" applyFont="1" applyBorder="1" applyAlignment="1">
      <alignment vertical="center" wrapText="1"/>
    </xf>
    <xf numFmtId="0" fontId="13" fillId="0" borderId="1" xfId="0" applyFont="1" applyBorder="1" applyAlignment="1">
      <alignment vertical="center" wrapText="1"/>
    </xf>
    <xf numFmtId="0" fontId="0" fillId="0" borderId="1" xfId="0" applyBorder="1" applyAlignment="1">
      <alignment horizontal="right" vertical="center"/>
    </xf>
    <xf numFmtId="0" fontId="0" fillId="0" borderId="1" xfId="0" applyBorder="1" applyAlignment="1">
      <alignment horizontal="right"/>
    </xf>
    <xf numFmtId="0" fontId="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indent="1"/>
    </xf>
    <xf numFmtId="0" fontId="13" fillId="0" borderId="1" xfId="0" applyFont="1" applyBorder="1" applyAlignment="1">
      <alignment horizontal="right" vertical="center" wrapText="1"/>
    </xf>
    <xf numFmtId="3" fontId="13" fillId="0" borderId="1" xfId="0" applyNumberFormat="1" applyFont="1" applyBorder="1" applyAlignment="1">
      <alignment horizontal="right" vertical="center" wrapText="1"/>
    </xf>
    <xf numFmtId="0" fontId="7" fillId="0" borderId="1" xfId="0" applyFont="1" applyBorder="1" applyAlignment="1">
      <alignment vertical="center" wrapText="1"/>
    </xf>
    <xf numFmtId="0" fontId="13" fillId="0" borderId="1" xfId="0" applyFont="1" applyBorder="1" applyAlignment="1">
      <alignment vertical="center" wrapText="1"/>
    </xf>
    <xf numFmtId="0" fontId="3" fillId="0" borderId="1" xfId="0" applyFont="1" applyBorder="1" applyAlignment="1">
      <alignment vertical="center" wrapText="1"/>
    </xf>
    <xf numFmtId="0" fontId="15" fillId="0" borderId="1" xfId="0" applyFont="1" applyBorder="1" applyAlignment="1">
      <alignment vertical="center" wrapText="1"/>
    </xf>
    <xf numFmtId="0" fontId="5" fillId="0" borderId="1" xfId="0" applyFont="1" applyBorder="1" applyAlignment="1">
      <alignment vertical="center" wrapText="1"/>
    </xf>
  </cellXfs>
  <cellStyles count="7">
    <cellStyle name="一般" xfId="0" builtinId="0"/>
    <cellStyle name="一般 2" xfId="1" xr:uid="{00000000-0005-0000-0000-000001000000}"/>
    <cellStyle name="千分位" xfId="4" builtinId="3"/>
    <cellStyle name="千分位 2" xfId="2" xr:uid="{00000000-0005-0000-0000-000004000000}"/>
    <cellStyle name="千分位 2 2" xfId="5" xr:uid="{00000000-0005-0000-0000-000004000000}"/>
    <cellStyle name="千分位 3" xfId="6" xr:uid="{00000000-0005-0000-0000-000033000000}"/>
    <cellStyle name="樣式 1"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600075</xdr:colOff>
      <xdr:row>0</xdr:row>
      <xdr:rowOff>190500</xdr:rowOff>
    </xdr:from>
    <xdr:to>
      <xdr:col>15</xdr:col>
      <xdr:colOff>234760</xdr:colOff>
      <xdr:row>11</xdr:row>
      <xdr:rowOff>464138</xdr:rowOff>
    </xdr:to>
    <xdr:pic>
      <xdr:nvPicPr>
        <xdr:cNvPr id="2" name="圖片 1">
          <a:extLst>
            <a:ext uri="{FF2B5EF4-FFF2-40B4-BE49-F238E27FC236}">
              <a16:creationId xmlns:a16="http://schemas.microsoft.com/office/drawing/2014/main" id="{72516A11-7753-B3ED-5E9E-C455C2305807}"/>
            </a:ext>
          </a:extLst>
        </xdr:cNvPr>
        <xdr:cNvPicPr>
          <a:picLocks noChangeAspect="1"/>
        </xdr:cNvPicPr>
      </xdr:nvPicPr>
      <xdr:blipFill>
        <a:blip xmlns:r="http://schemas.openxmlformats.org/officeDocument/2006/relationships" r:embed="rId1"/>
        <a:stretch>
          <a:fillRect/>
        </a:stretch>
      </xdr:blipFill>
      <xdr:spPr>
        <a:xfrm>
          <a:off x="11963400" y="190500"/>
          <a:ext cx="5121084" cy="36396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E31"/>
  <sheetViews>
    <sheetView zoomScale="85" zoomScaleNormal="85" workbookViewId="0">
      <selection activeCell="O25" sqref="N25:O25"/>
    </sheetView>
  </sheetViews>
  <sheetFormatPr defaultRowHeight="15.75"/>
  <cols>
    <col min="2" max="2" width="9.85546875" bestFit="1" customWidth="1"/>
    <col min="3" max="3" width="52.42578125" bestFit="1" customWidth="1"/>
    <col min="4" max="4" width="14" bestFit="1" customWidth="1"/>
    <col min="5" max="5" width="15.28515625" bestFit="1" customWidth="1"/>
  </cols>
  <sheetData>
    <row r="2" spans="2:5">
      <c r="B2" s="10" t="s">
        <v>26</v>
      </c>
      <c r="C2" s="76" t="str">
        <f>詳細價目表!B1</f>
        <v>新光學校財團法人高雄市新光高級中學科技大樓建築物耐震能力補強設計</v>
      </c>
      <c r="D2" s="76"/>
      <c r="E2" s="76"/>
    </row>
    <row r="3" spans="2:5">
      <c r="B3" s="10" t="s">
        <v>27</v>
      </c>
      <c r="C3" s="76" t="str">
        <f>詳細價目表!B2</f>
        <v>高雄市大寮區鳳屏一路217號</v>
      </c>
      <c r="D3" s="76"/>
      <c r="E3" s="76"/>
    </row>
    <row r="4" spans="2:5">
      <c r="B4" s="11" t="s">
        <v>28</v>
      </c>
      <c r="C4" s="12" t="s">
        <v>74</v>
      </c>
      <c r="D4" s="13" t="s">
        <v>75</v>
      </c>
      <c r="E4" s="12" t="s">
        <v>5</v>
      </c>
    </row>
    <row r="5" spans="2:5">
      <c r="B5" s="12" t="s">
        <v>6</v>
      </c>
      <c r="C5" s="44" t="s">
        <v>7</v>
      </c>
      <c r="D5" s="15"/>
      <c r="E5" s="7"/>
    </row>
    <row r="6" spans="2:5">
      <c r="B6" s="14" t="s">
        <v>8</v>
      </c>
      <c r="C6" s="51" t="s">
        <v>9</v>
      </c>
      <c r="D6" s="15"/>
      <c r="E6" s="7"/>
    </row>
    <row r="7" spans="2:5">
      <c r="B7" s="14" t="s">
        <v>108</v>
      </c>
      <c r="C7" s="51" t="s">
        <v>60</v>
      </c>
      <c r="D7" s="15"/>
      <c r="E7" s="7"/>
    </row>
    <row r="8" spans="2:5">
      <c r="B8" s="14" t="s">
        <v>109</v>
      </c>
      <c r="C8" s="51" t="s">
        <v>125</v>
      </c>
      <c r="D8" s="15"/>
      <c r="E8" s="7"/>
    </row>
    <row r="9" spans="2:5">
      <c r="B9" s="14" t="s">
        <v>21</v>
      </c>
      <c r="C9" s="51" t="s">
        <v>192</v>
      </c>
      <c r="D9" s="15"/>
      <c r="E9" s="7"/>
    </row>
    <row r="10" spans="2:5">
      <c r="B10" s="14" t="s">
        <v>193</v>
      </c>
      <c r="C10" s="10" t="s">
        <v>22</v>
      </c>
      <c r="D10" s="15"/>
      <c r="E10" s="7"/>
    </row>
    <row r="11" spans="2:5">
      <c r="B11" s="7"/>
      <c r="C11" s="16" t="s">
        <v>76</v>
      </c>
      <c r="D11" s="17"/>
      <c r="E11" s="7"/>
    </row>
    <row r="12" spans="2:5">
      <c r="B12" s="12" t="s">
        <v>66</v>
      </c>
      <c r="C12" s="10" t="s">
        <v>67</v>
      </c>
      <c r="D12" s="7"/>
      <c r="E12" s="7"/>
    </row>
    <row r="13" spans="2:5">
      <c r="B13" s="14" t="s">
        <v>8</v>
      </c>
      <c r="C13" s="10" t="s">
        <v>68</v>
      </c>
      <c r="D13" s="15"/>
      <c r="E13" s="7"/>
    </row>
    <row r="14" spans="2:5" ht="16.5" customHeight="1">
      <c r="B14" s="14" t="s">
        <v>14</v>
      </c>
      <c r="C14" s="10" t="s">
        <v>72</v>
      </c>
      <c r="D14" s="15"/>
      <c r="E14" s="7"/>
    </row>
    <row r="15" spans="2:5">
      <c r="B15" s="7"/>
      <c r="C15" s="16" t="s">
        <v>76</v>
      </c>
      <c r="D15" s="17"/>
      <c r="E15" s="7"/>
    </row>
    <row r="16" spans="2:5">
      <c r="B16" s="7"/>
      <c r="C16" s="18" t="s">
        <v>77</v>
      </c>
      <c r="D16" s="17"/>
      <c r="E16" s="7"/>
    </row>
    <row r="17" spans="2:5">
      <c r="B17" s="12" t="s">
        <v>78</v>
      </c>
      <c r="C17" s="10" t="s">
        <v>79</v>
      </c>
      <c r="D17" s="15"/>
      <c r="E17" s="10" t="s">
        <v>110</v>
      </c>
    </row>
    <row r="18" spans="2:5">
      <c r="B18" s="12" t="s">
        <v>80</v>
      </c>
      <c r="C18" s="10" t="s">
        <v>81</v>
      </c>
      <c r="D18" s="15"/>
      <c r="E18" s="10" t="s">
        <v>110</v>
      </c>
    </row>
    <row r="19" spans="2:5">
      <c r="B19" s="12" t="s">
        <v>82</v>
      </c>
      <c r="C19" s="10" t="s">
        <v>83</v>
      </c>
      <c r="D19" s="19"/>
      <c r="E19" s="10"/>
    </row>
    <row r="20" spans="2:5">
      <c r="B20" s="12" t="s">
        <v>84</v>
      </c>
      <c r="C20" s="10" t="s">
        <v>113</v>
      </c>
      <c r="D20" s="15"/>
      <c r="E20" s="10" t="s">
        <v>111</v>
      </c>
    </row>
    <row r="21" spans="2:5">
      <c r="B21" s="7"/>
      <c r="C21" s="18" t="s">
        <v>85</v>
      </c>
      <c r="D21" s="17"/>
      <c r="E21" s="7"/>
    </row>
    <row r="22" spans="2:5">
      <c r="B22" s="12" t="s">
        <v>86</v>
      </c>
      <c r="C22" s="10" t="s">
        <v>87</v>
      </c>
      <c r="D22" s="15"/>
      <c r="E22" s="10" t="s">
        <v>88</v>
      </c>
    </row>
    <row r="23" spans="2:5">
      <c r="B23" s="12" t="s">
        <v>89</v>
      </c>
      <c r="C23" s="10" t="s">
        <v>90</v>
      </c>
      <c r="D23" s="15"/>
      <c r="E23" s="10" t="s">
        <v>91</v>
      </c>
    </row>
    <row r="24" spans="2:5">
      <c r="B24" s="7"/>
      <c r="C24" s="18" t="s">
        <v>92</v>
      </c>
      <c r="D24" s="17"/>
      <c r="E24" s="7"/>
    </row>
    <row r="25" spans="2:5" ht="57">
      <c r="B25" s="12" t="s">
        <v>93</v>
      </c>
      <c r="C25" s="10" t="s">
        <v>94</v>
      </c>
      <c r="D25" s="15"/>
      <c r="E25" s="10" t="s">
        <v>223</v>
      </c>
    </row>
    <row r="26" spans="2:5">
      <c r="B26" s="12" t="s">
        <v>93</v>
      </c>
      <c r="C26" s="10" t="s">
        <v>222</v>
      </c>
      <c r="D26" s="15"/>
      <c r="E26" s="10" t="s">
        <v>96</v>
      </c>
    </row>
    <row r="27" spans="2:5">
      <c r="B27" s="12" t="s">
        <v>95</v>
      </c>
      <c r="C27" s="10" t="s">
        <v>97</v>
      </c>
      <c r="D27" s="15"/>
      <c r="E27" s="7"/>
    </row>
    <row r="28" spans="2:5">
      <c r="B28" s="7"/>
      <c r="C28" s="18" t="s">
        <v>98</v>
      </c>
      <c r="D28" s="17"/>
      <c r="E28" s="7"/>
    </row>
    <row r="29" spans="2:5">
      <c r="B29" s="8"/>
      <c r="C29" s="8"/>
      <c r="D29" s="8"/>
      <c r="E29" s="8"/>
    </row>
    <row r="30" spans="2:5">
      <c r="B30" s="8"/>
      <c r="C30" s="8"/>
      <c r="D30" s="8"/>
      <c r="E30" s="8"/>
    </row>
    <row r="31" spans="2:5">
      <c r="B31" s="8"/>
      <c r="C31" s="8"/>
      <c r="D31" s="8"/>
      <c r="E31" s="8"/>
    </row>
  </sheetData>
  <mergeCells count="2">
    <mergeCell ref="C2:E2"/>
    <mergeCell ref="C3:E3"/>
  </mergeCells>
  <phoneticPr fontId="6" type="noConversion"/>
  <printOptions horizontalCentered="1"/>
  <pageMargins left="0.59055118110236227" right="0.59055118110236227" top="0.59055118110236227" bottom="0.59055118110236227" header="0"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5"/>
  <sheetViews>
    <sheetView topLeftCell="A64" zoomScale="80" zoomScaleNormal="80" workbookViewId="0">
      <selection activeCell="J24" sqref="J24"/>
    </sheetView>
  </sheetViews>
  <sheetFormatPr defaultRowHeight="16.5"/>
  <cols>
    <col min="1" max="1" width="11" style="43" bestFit="1" customWidth="1"/>
    <col min="2" max="2" width="60.7109375" style="43" customWidth="1"/>
    <col min="3" max="3" width="6" style="43" bestFit="1" customWidth="1"/>
    <col min="4" max="5" width="10.7109375" style="43" customWidth="1"/>
    <col min="6" max="6" width="14.7109375" style="43" customWidth="1"/>
    <col min="7" max="7" width="21.28515625" style="43" bestFit="1" customWidth="1"/>
    <col min="8" max="16384" width="9.140625" style="28"/>
  </cols>
  <sheetData>
    <row r="1" spans="1:7">
      <c r="A1" s="27" t="s">
        <v>26</v>
      </c>
      <c r="B1" s="77" t="s">
        <v>142</v>
      </c>
      <c r="C1" s="77"/>
      <c r="D1" s="77"/>
      <c r="E1" s="77"/>
      <c r="F1" s="77"/>
      <c r="G1" s="77"/>
    </row>
    <row r="2" spans="1:7">
      <c r="A2" s="27" t="s">
        <v>27</v>
      </c>
      <c r="B2" s="77" t="s">
        <v>139</v>
      </c>
      <c r="C2" s="77"/>
      <c r="D2" s="77"/>
      <c r="E2" s="77"/>
      <c r="F2" s="77"/>
      <c r="G2" s="77"/>
    </row>
    <row r="3" spans="1:7" ht="33">
      <c r="A3" s="27" t="s">
        <v>28</v>
      </c>
      <c r="B3" s="29" t="s">
        <v>29</v>
      </c>
      <c r="C3" s="27" t="s">
        <v>30</v>
      </c>
      <c r="D3" s="30" t="s">
        <v>31</v>
      </c>
      <c r="E3" s="30" t="s">
        <v>32</v>
      </c>
      <c r="F3" s="31" t="s">
        <v>33</v>
      </c>
      <c r="G3" s="30" t="s">
        <v>34</v>
      </c>
    </row>
    <row r="4" spans="1:7">
      <c r="A4" s="32" t="s">
        <v>6</v>
      </c>
      <c r="B4" s="33" t="s">
        <v>7</v>
      </c>
      <c r="C4" s="34"/>
      <c r="D4" s="34"/>
      <c r="E4" s="34"/>
      <c r="F4" s="34"/>
      <c r="G4" s="34"/>
    </row>
    <row r="5" spans="1:7">
      <c r="A5" s="35" t="s">
        <v>8</v>
      </c>
      <c r="B5" s="36" t="s">
        <v>9</v>
      </c>
      <c r="C5" s="37"/>
      <c r="D5" s="37"/>
      <c r="E5" s="37"/>
      <c r="F5" s="37"/>
      <c r="G5" s="37"/>
    </row>
    <row r="6" spans="1:7">
      <c r="A6" s="27">
        <v>1</v>
      </c>
      <c r="B6" s="30" t="s">
        <v>127</v>
      </c>
      <c r="C6" s="27" t="s">
        <v>35</v>
      </c>
      <c r="D6" s="38">
        <v>2</v>
      </c>
      <c r="E6" s="39"/>
      <c r="F6" s="39"/>
      <c r="G6" s="49" t="s">
        <v>36</v>
      </c>
    </row>
    <row r="7" spans="1:7" ht="33">
      <c r="A7" s="27">
        <v>2</v>
      </c>
      <c r="B7" s="30" t="s">
        <v>134</v>
      </c>
      <c r="C7" s="27" t="s">
        <v>11</v>
      </c>
      <c r="D7" s="38">
        <f>ROUND(數量計算!E4,0)</f>
        <v>105</v>
      </c>
      <c r="E7" s="38"/>
      <c r="F7" s="39"/>
      <c r="G7" s="49" t="s">
        <v>58</v>
      </c>
    </row>
    <row r="8" spans="1:7">
      <c r="A8" s="27">
        <v>3</v>
      </c>
      <c r="B8" s="30" t="s">
        <v>37</v>
      </c>
      <c r="C8" s="27" t="s">
        <v>13</v>
      </c>
      <c r="D8" s="38">
        <f>ROUNDUP(4*8*3*3,0)</f>
        <v>288</v>
      </c>
      <c r="E8" s="39"/>
      <c r="F8" s="39"/>
      <c r="G8" s="34"/>
    </row>
    <row r="9" spans="1:7">
      <c r="A9" s="27">
        <v>4</v>
      </c>
      <c r="B9" s="30" t="s">
        <v>38</v>
      </c>
      <c r="C9" s="27" t="s">
        <v>39</v>
      </c>
      <c r="D9" s="38">
        <v>16</v>
      </c>
      <c r="E9" s="39"/>
      <c r="F9" s="39"/>
      <c r="G9" s="34"/>
    </row>
    <row r="10" spans="1:7" ht="33">
      <c r="A10" s="27">
        <v>5</v>
      </c>
      <c r="B10" s="30" t="s">
        <v>40</v>
      </c>
      <c r="C10" s="27" t="s">
        <v>13</v>
      </c>
      <c r="D10" s="38">
        <f>ROUNDUP(數量計算!E5,0)</f>
        <v>686</v>
      </c>
      <c r="E10" s="39"/>
      <c r="F10" s="39"/>
      <c r="G10" s="49" t="s">
        <v>59</v>
      </c>
    </row>
    <row r="11" spans="1:7">
      <c r="A11" s="27">
        <v>6</v>
      </c>
      <c r="B11" s="30" t="s">
        <v>41</v>
      </c>
      <c r="C11" s="27" t="s">
        <v>42</v>
      </c>
      <c r="D11" s="38">
        <v>1</v>
      </c>
      <c r="E11" s="39"/>
      <c r="F11" s="39"/>
      <c r="G11" s="34"/>
    </row>
    <row r="12" spans="1:7">
      <c r="A12" s="27">
        <v>7</v>
      </c>
      <c r="B12" s="30" t="s">
        <v>106</v>
      </c>
      <c r="C12" s="27" t="s">
        <v>107</v>
      </c>
      <c r="D12" s="38">
        <v>2</v>
      </c>
      <c r="E12" s="39"/>
      <c r="F12" s="39"/>
      <c r="G12" s="34"/>
    </row>
    <row r="13" spans="1:7">
      <c r="A13" s="27">
        <v>8</v>
      </c>
      <c r="B13" s="30" t="s">
        <v>43</v>
      </c>
      <c r="C13" s="27" t="s">
        <v>42</v>
      </c>
      <c r="D13" s="38">
        <v>1</v>
      </c>
      <c r="E13" s="39"/>
      <c r="F13" s="39"/>
      <c r="G13" s="34"/>
    </row>
    <row r="14" spans="1:7">
      <c r="A14" s="27">
        <v>9</v>
      </c>
      <c r="B14" s="30" t="s">
        <v>44</v>
      </c>
      <c r="C14" s="27" t="s">
        <v>42</v>
      </c>
      <c r="D14" s="38">
        <v>1</v>
      </c>
      <c r="E14" s="39"/>
      <c r="F14" s="39"/>
      <c r="G14" s="34"/>
    </row>
    <row r="15" spans="1:7">
      <c r="A15" s="27">
        <v>10</v>
      </c>
      <c r="B15" s="30" t="s">
        <v>45</v>
      </c>
      <c r="C15" s="27" t="s">
        <v>42</v>
      </c>
      <c r="D15" s="38">
        <v>1</v>
      </c>
      <c r="E15" s="39"/>
      <c r="F15" s="39"/>
      <c r="G15" s="34"/>
    </row>
    <row r="16" spans="1:7">
      <c r="A16" s="27">
        <v>11</v>
      </c>
      <c r="B16" s="30" t="s">
        <v>46</v>
      </c>
      <c r="C16" s="27" t="s">
        <v>42</v>
      </c>
      <c r="D16" s="38">
        <v>1</v>
      </c>
      <c r="E16" s="39"/>
      <c r="F16" s="39"/>
      <c r="G16" s="49"/>
    </row>
    <row r="17" spans="1:7">
      <c r="A17" s="34"/>
      <c r="B17" s="32" t="s">
        <v>47</v>
      </c>
      <c r="C17" s="34"/>
      <c r="D17" s="34"/>
      <c r="E17" s="34"/>
      <c r="F17" s="40"/>
      <c r="G17" s="34"/>
    </row>
    <row r="18" spans="1:7">
      <c r="A18" s="35" t="s">
        <v>108</v>
      </c>
      <c r="B18" s="36" t="s">
        <v>60</v>
      </c>
      <c r="C18" s="37"/>
      <c r="D18" s="37"/>
      <c r="E18" s="37"/>
      <c r="F18" s="37"/>
      <c r="G18" s="37"/>
    </row>
    <row r="19" spans="1:7">
      <c r="A19" s="27">
        <v>1</v>
      </c>
      <c r="B19" s="30" t="s">
        <v>61</v>
      </c>
      <c r="C19" s="27" t="s">
        <v>62</v>
      </c>
      <c r="D19" s="38">
        <f>SUM(D20:D23)</f>
        <v>51</v>
      </c>
      <c r="E19" s="39"/>
      <c r="F19" s="39"/>
      <c r="G19" s="34"/>
    </row>
    <row r="20" spans="1:7">
      <c r="A20" s="27">
        <v>2</v>
      </c>
      <c r="B20" s="30" t="s">
        <v>212</v>
      </c>
      <c r="C20" s="27" t="s">
        <v>62</v>
      </c>
      <c r="D20" s="38">
        <v>20</v>
      </c>
      <c r="E20" s="39"/>
      <c r="F20" s="39"/>
      <c r="G20" s="49" t="s">
        <v>63</v>
      </c>
    </row>
    <row r="21" spans="1:7">
      <c r="A21" s="27">
        <v>3</v>
      </c>
      <c r="B21" s="30" t="s">
        <v>213</v>
      </c>
      <c r="C21" s="27" t="s">
        <v>62</v>
      </c>
      <c r="D21" s="38">
        <v>24</v>
      </c>
      <c r="E21" s="39"/>
      <c r="F21" s="39"/>
      <c r="G21" s="68" t="s">
        <v>63</v>
      </c>
    </row>
    <row r="22" spans="1:7">
      <c r="A22" s="27">
        <v>4</v>
      </c>
      <c r="B22" s="30" t="s">
        <v>219</v>
      </c>
      <c r="C22" s="27" t="s">
        <v>62</v>
      </c>
      <c r="D22" s="38">
        <v>3</v>
      </c>
      <c r="E22" s="39"/>
      <c r="F22" s="39"/>
      <c r="G22" s="49" t="s">
        <v>63</v>
      </c>
    </row>
    <row r="23" spans="1:7">
      <c r="A23" s="27">
        <v>5</v>
      </c>
      <c r="B23" s="30" t="s">
        <v>214</v>
      </c>
      <c r="C23" s="27" t="s">
        <v>62</v>
      </c>
      <c r="D23" s="38">
        <v>4</v>
      </c>
      <c r="E23" s="39"/>
      <c r="F23" s="39"/>
      <c r="G23" s="67" t="s">
        <v>215</v>
      </c>
    </row>
    <row r="24" spans="1:7">
      <c r="A24" s="34"/>
      <c r="B24" s="32" t="s">
        <v>47</v>
      </c>
      <c r="C24" s="34"/>
      <c r="D24" s="34"/>
      <c r="E24" s="34"/>
      <c r="F24" s="40"/>
      <c r="G24" s="34"/>
    </row>
    <row r="25" spans="1:7">
      <c r="A25" s="35" t="s">
        <v>109</v>
      </c>
      <c r="B25" s="36" t="s">
        <v>125</v>
      </c>
      <c r="C25" s="37"/>
      <c r="D25" s="37"/>
      <c r="E25" s="37"/>
      <c r="F25" s="37"/>
      <c r="G25" s="37"/>
    </row>
    <row r="26" spans="1:7">
      <c r="A26" s="27">
        <v>1</v>
      </c>
      <c r="B26" s="30" t="s">
        <v>48</v>
      </c>
      <c r="C26" s="27" t="s">
        <v>11</v>
      </c>
      <c r="D26" s="38">
        <f>數量計算!E7</f>
        <v>200</v>
      </c>
      <c r="E26" s="39"/>
      <c r="F26" s="39"/>
      <c r="G26" s="34"/>
    </row>
    <row r="27" spans="1:7">
      <c r="A27" s="27">
        <v>2</v>
      </c>
      <c r="B27" s="30" t="s">
        <v>49</v>
      </c>
      <c r="C27" s="27" t="s">
        <v>13</v>
      </c>
      <c r="D27" s="38">
        <f>數量計算!E8</f>
        <v>87</v>
      </c>
      <c r="E27" s="39"/>
      <c r="F27" s="39"/>
      <c r="G27" s="34"/>
    </row>
    <row r="28" spans="1:7">
      <c r="A28" s="27">
        <v>3</v>
      </c>
      <c r="B28" s="30" t="s">
        <v>50</v>
      </c>
      <c r="C28" s="27" t="s">
        <v>19</v>
      </c>
      <c r="D28" s="38">
        <f>數量計算!E9</f>
        <v>60</v>
      </c>
      <c r="E28" s="39"/>
      <c r="F28" s="39"/>
      <c r="G28" s="49" t="s">
        <v>51</v>
      </c>
    </row>
    <row r="29" spans="1:7" ht="33">
      <c r="A29" s="27">
        <v>4</v>
      </c>
      <c r="B29" s="30" t="s">
        <v>117</v>
      </c>
      <c r="C29" s="27" t="s">
        <v>52</v>
      </c>
      <c r="D29" s="38">
        <f>6*4</f>
        <v>24</v>
      </c>
      <c r="E29" s="39"/>
      <c r="F29" s="39"/>
      <c r="G29" s="49" t="s">
        <v>118</v>
      </c>
    </row>
    <row r="30" spans="1:7">
      <c r="A30" s="27">
        <v>5</v>
      </c>
      <c r="B30" s="30" t="s">
        <v>53</v>
      </c>
      <c r="C30" s="27" t="s">
        <v>54</v>
      </c>
      <c r="D30" s="38">
        <v>3</v>
      </c>
      <c r="E30" s="39"/>
      <c r="F30" s="39"/>
      <c r="G30" s="34"/>
    </row>
    <row r="31" spans="1:7">
      <c r="A31" s="27">
        <v>6</v>
      </c>
      <c r="B31" s="30" t="s">
        <v>135</v>
      </c>
      <c r="C31" s="27" t="s">
        <v>15</v>
      </c>
      <c r="D31" s="38">
        <f>數量計算!E10</f>
        <v>1152</v>
      </c>
      <c r="E31" s="39"/>
      <c r="F31" s="39"/>
      <c r="G31" s="34"/>
    </row>
    <row r="32" spans="1:7">
      <c r="A32" s="27">
        <v>7</v>
      </c>
      <c r="B32" s="30" t="s">
        <v>191</v>
      </c>
      <c r="C32" s="27" t="s">
        <v>56</v>
      </c>
      <c r="D32" s="38">
        <f>數量計算!E11</f>
        <v>13.1</v>
      </c>
      <c r="E32" s="39"/>
      <c r="F32" s="39"/>
      <c r="G32" s="52" t="s">
        <v>186</v>
      </c>
    </row>
    <row r="33" spans="1:7">
      <c r="A33" s="27">
        <v>8</v>
      </c>
      <c r="B33" s="30" t="s">
        <v>187</v>
      </c>
      <c r="C33" s="27" t="s">
        <v>56</v>
      </c>
      <c r="D33" s="38">
        <f>數量計算!E12</f>
        <v>23.3</v>
      </c>
      <c r="E33" s="39"/>
      <c r="F33" s="39"/>
      <c r="G33" s="52" t="s">
        <v>186</v>
      </c>
    </row>
    <row r="34" spans="1:7">
      <c r="A34" s="27">
        <v>9</v>
      </c>
      <c r="B34" s="30" t="s">
        <v>119</v>
      </c>
      <c r="C34" s="27" t="s">
        <v>17</v>
      </c>
      <c r="D34" s="38">
        <f>數量計算!E13</f>
        <v>360</v>
      </c>
      <c r="E34" s="39"/>
      <c r="F34" s="39"/>
      <c r="G34" s="34"/>
    </row>
    <row r="35" spans="1:7">
      <c r="A35" s="27">
        <v>10</v>
      </c>
      <c r="B35" s="30" t="s">
        <v>18</v>
      </c>
      <c r="C35" s="27" t="s">
        <v>13</v>
      </c>
      <c r="D35" s="38">
        <f>數量計算!E14</f>
        <v>400</v>
      </c>
      <c r="E35" s="39"/>
      <c r="F35" s="39"/>
      <c r="G35" s="34"/>
    </row>
    <row r="36" spans="1:7">
      <c r="A36" s="27">
        <v>11</v>
      </c>
      <c r="B36" s="30" t="s">
        <v>57</v>
      </c>
      <c r="C36" s="27" t="s">
        <v>19</v>
      </c>
      <c r="D36" s="38">
        <f>數量計算!E15</f>
        <v>91</v>
      </c>
      <c r="E36" s="39"/>
      <c r="F36" s="39"/>
      <c r="G36" s="52" t="s">
        <v>186</v>
      </c>
    </row>
    <row r="37" spans="1:7">
      <c r="A37" s="27">
        <v>12</v>
      </c>
      <c r="B37" s="30" t="s">
        <v>120</v>
      </c>
      <c r="C37" s="27" t="s">
        <v>121</v>
      </c>
      <c r="D37" s="38">
        <v>5</v>
      </c>
      <c r="E37" s="39"/>
      <c r="F37" s="39"/>
      <c r="G37" s="34"/>
    </row>
    <row r="38" spans="1:7">
      <c r="A38" s="27">
        <v>13</v>
      </c>
      <c r="B38" s="30" t="s">
        <v>25</v>
      </c>
      <c r="C38" s="27" t="s">
        <v>19</v>
      </c>
      <c r="D38" s="38">
        <f>數量計算!E16</f>
        <v>1.2</v>
      </c>
      <c r="E38" s="39"/>
      <c r="F38" s="39"/>
      <c r="G38" s="49"/>
    </row>
    <row r="39" spans="1:7">
      <c r="A39" s="27">
        <v>14</v>
      </c>
      <c r="B39" s="30" t="s">
        <v>140</v>
      </c>
      <c r="C39" s="27" t="s">
        <v>19</v>
      </c>
      <c r="D39" s="38">
        <f>數量計算!E17</f>
        <v>54</v>
      </c>
      <c r="E39" s="39"/>
      <c r="F39" s="39"/>
      <c r="G39" s="49"/>
    </row>
    <row r="40" spans="1:7">
      <c r="A40" s="27">
        <v>15</v>
      </c>
      <c r="B40" s="30" t="s">
        <v>187</v>
      </c>
      <c r="C40" s="27" t="s">
        <v>56</v>
      </c>
      <c r="D40" s="38">
        <f>數量計算!E18</f>
        <v>2.3000000000000003</v>
      </c>
      <c r="E40" s="39"/>
      <c r="F40" s="39"/>
      <c r="G40" s="49" t="s">
        <v>122</v>
      </c>
    </row>
    <row r="41" spans="1:7">
      <c r="A41" s="27">
        <v>16</v>
      </c>
      <c r="B41" s="30" t="s">
        <v>188</v>
      </c>
      <c r="C41" s="27" t="s">
        <v>19</v>
      </c>
      <c r="D41" s="38">
        <f>數量計算!E19</f>
        <v>54</v>
      </c>
      <c r="E41" s="39"/>
      <c r="F41" s="39"/>
      <c r="G41" s="49" t="s">
        <v>122</v>
      </c>
    </row>
    <row r="42" spans="1:7">
      <c r="A42" s="27">
        <v>17</v>
      </c>
      <c r="B42" s="30" t="s">
        <v>123</v>
      </c>
      <c r="C42" s="27" t="s">
        <v>17</v>
      </c>
      <c r="D42" s="38">
        <f>數量計算!E20</f>
        <v>72</v>
      </c>
      <c r="E42" s="39"/>
      <c r="F42" s="39"/>
      <c r="G42" s="49"/>
    </row>
    <row r="43" spans="1:7">
      <c r="A43" s="27">
        <v>18</v>
      </c>
      <c r="B43" s="30" t="s">
        <v>124</v>
      </c>
      <c r="C43" s="27" t="s">
        <v>52</v>
      </c>
      <c r="D43" s="38">
        <f>8*4*2</f>
        <v>64</v>
      </c>
      <c r="E43" s="39"/>
      <c r="F43" s="39"/>
      <c r="G43" s="49"/>
    </row>
    <row r="44" spans="1:7">
      <c r="A44" s="34"/>
      <c r="B44" s="32" t="s">
        <v>47</v>
      </c>
      <c r="C44" s="34"/>
      <c r="D44" s="34"/>
      <c r="E44" s="34"/>
      <c r="F44" s="40"/>
      <c r="G44" s="34"/>
    </row>
    <row r="45" spans="1:7">
      <c r="A45" s="35" t="s">
        <v>114</v>
      </c>
      <c r="B45" s="36" t="s">
        <v>145</v>
      </c>
      <c r="C45" s="37"/>
      <c r="D45" s="37"/>
      <c r="E45" s="37"/>
      <c r="F45" s="37"/>
      <c r="G45" s="37"/>
    </row>
    <row r="46" spans="1:7">
      <c r="A46" s="27">
        <v>1</v>
      </c>
      <c r="B46" s="30" t="s">
        <v>48</v>
      </c>
      <c r="C46" s="27" t="s">
        <v>11</v>
      </c>
      <c r="D46" s="38">
        <f>數量計算!E22</f>
        <v>38</v>
      </c>
      <c r="E46" s="39"/>
      <c r="F46" s="39"/>
      <c r="G46" s="34"/>
    </row>
    <row r="47" spans="1:7">
      <c r="A47" s="27">
        <v>2</v>
      </c>
      <c r="B47" s="30" t="s">
        <v>49</v>
      </c>
      <c r="C47" s="27" t="s">
        <v>13</v>
      </c>
      <c r="D47" s="38">
        <f>數量計算!E23</f>
        <v>10</v>
      </c>
      <c r="E47" s="39"/>
      <c r="F47" s="39"/>
      <c r="G47" s="34"/>
    </row>
    <row r="48" spans="1:7">
      <c r="A48" s="27">
        <v>3</v>
      </c>
      <c r="B48" s="30" t="s">
        <v>50</v>
      </c>
      <c r="C48" s="27" t="s">
        <v>19</v>
      </c>
      <c r="D48" s="38">
        <f>數量計算!E24</f>
        <v>5</v>
      </c>
      <c r="E48" s="39"/>
      <c r="F48" s="39"/>
      <c r="G48" s="50" t="s">
        <v>51</v>
      </c>
    </row>
    <row r="49" spans="1:7" ht="33">
      <c r="A49" s="27">
        <v>4</v>
      </c>
      <c r="B49" s="30" t="s">
        <v>146</v>
      </c>
      <c r="C49" s="27" t="s">
        <v>52</v>
      </c>
      <c r="D49" s="38">
        <f>4*2</f>
        <v>8</v>
      </c>
      <c r="E49" s="39"/>
      <c r="F49" s="39"/>
      <c r="G49" s="50" t="s">
        <v>147</v>
      </c>
    </row>
    <row r="50" spans="1:7">
      <c r="A50" s="27">
        <v>5</v>
      </c>
      <c r="B50" s="30" t="s">
        <v>53</v>
      </c>
      <c r="C50" s="27" t="s">
        <v>54</v>
      </c>
      <c r="D50" s="38">
        <v>2</v>
      </c>
      <c r="E50" s="39"/>
      <c r="F50" s="39"/>
      <c r="G50" s="34"/>
    </row>
    <row r="51" spans="1:7">
      <c r="A51" s="27">
        <v>6</v>
      </c>
      <c r="B51" s="30" t="s">
        <v>135</v>
      </c>
      <c r="C51" s="27" t="s">
        <v>15</v>
      </c>
      <c r="D51" s="38">
        <f>數量計算!E25+數量計算!E26</f>
        <v>628</v>
      </c>
      <c r="E51" s="39"/>
      <c r="F51" s="39"/>
      <c r="G51" s="34"/>
    </row>
    <row r="52" spans="1:7">
      <c r="A52" s="27">
        <v>7</v>
      </c>
      <c r="B52" s="30" t="s">
        <v>187</v>
      </c>
      <c r="C52" s="27" t="s">
        <v>56</v>
      </c>
      <c r="D52" s="38">
        <f>數量計算!E27</f>
        <v>1.4000000000000001</v>
      </c>
      <c r="E52" s="39"/>
      <c r="F52" s="39"/>
      <c r="G52" s="52" t="s">
        <v>190</v>
      </c>
    </row>
    <row r="53" spans="1:7">
      <c r="A53" s="27">
        <v>8</v>
      </c>
      <c r="B53" s="30" t="s">
        <v>18</v>
      </c>
      <c r="C53" s="27" t="s">
        <v>13</v>
      </c>
      <c r="D53" s="38">
        <f>數量計算!E28</f>
        <v>52</v>
      </c>
      <c r="E53" s="39"/>
      <c r="F53" s="39"/>
      <c r="G53" s="52" t="s">
        <v>189</v>
      </c>
    </row>
    <row r="54" spans="1:7" ht="19.5">
      <c r="A54" s="27">
        <v>9</v>
      </c>
      <c r="B54" s="30" t="s">
        <v>148</v>
      </c>
      <c r="C54" s="27" t="s">
        <v>19</v>
      </c>
      <c r="D54" s="38">
        <f>數量計算!E29</f>
        <v>7</v>
      </c>
      <c r="E54" s="39"/>
      <c r="F54" s="39"/>
      <c r="G54" s="34"/>
    </row>
    <row r="55" spans="1:7">
      <c r="A55" s="27">
        <v>10</v>
      </c>
      <c r="B55" s="30" t="s">
        <v>25</v>
      </c>
      <c r="C55" s="27" t="s">
        <v>19</v>
      </c>
      <c r="D55" s="38">
        <f>數量計算!E30</f>
        <v>0.1</v>
      </c>
      <c r="E55" s="39"/>
      <c r="F55" s="39"/>
      <c r="G55" s="34"/>
    </row>
    <row r="56" spans="1:7">
      <c r="A56" s="27">
        <v>11</v>
      </c>
      <c r="B56" s="30" t="s">
        <v>20</v>
      </c>
      <c r="C56" s="27" t="s">
        <v>19</v>
      </c>
      <c r="D56" s="38">
        <f>數量計算!E31</f>
        <v>3</v>
      </c>
      <c r="E56" s="41"/>
      <c r="F56" s="39"/>
      <c r="G56" s="34"/>
    </row>
    <row r="57" spans="1:7">
      <c r="A57" s="27">
        <v>12</v>
      </c>
      <c r="B57" s="30" t="s">
        <v>55</v>
      </c>
      <c r="C57" s="27" t="s">
        <v>56</v>
      </c>
      <c r="D57" s="38">
        <f>數量計算!E32</f>
        <v>0.2</v>
      </c>
      <c r="E57" s="39"/>
      <c r="F57" s="39"/>
      <c r="G57" s="50" t="s">
        <v>149</v>
      </c>
    </row>
    <row r="58" spans="1:7" ht="19.5">
      <c r="A58" s="27">
        <v>13</v>
      </c>
      <c r="B58" s="30" t="s">
        <v>148</v>
      </c>
      <c r="C58" s="27" t="s">
        <v>19</v>
      </c>
      <c r="D58" s="38">
        <f>數量計算!E33</f>
        <v>3</v>
      </c>
      <c r="E58" s="39"/>
      <c r="F58" s="39"/>
      <c r="G58" s="50" t="s">
        <v>149</v>
      </c>
    </row>
    <row r="59" spans="1:7">
      <c r="A59" s="27">
        <v>14</v>
      </c>
      <c r="B59" s="30" t="s">
        <v>124</v>
      </c>
      <c r="C59" s="27" t="s">
        <v>52</v>
      </c>
      <c r="D59" s="38">
        <f>4*2*2</f>
        <v>16</v>
      </c>
      <c r="E59" s="39"/>
      <c r="F59" s="39"/>
      <c r="G59" s="34"/>
    </row>
    <row r="60" spans="1:7">
      <c r="A60" s="34"/>
      <c r="B60" s="32" t="s">
        <v>47</v>
      </c>
      <c r="C60" s="34"/>
      <c r="D60" s="34"/>
      <c r="E60" s="34"/>
      <c r="F60" s="40"/>
      <c r="G60" s="34"/>
    </row>
    <row r="61" spans="1:7">
      <c r="A61" s="35" t="s">
        <v>150</v>
      </c>
      <c r="B61" s="36" t="s">
        <v>22</v>
      </c>
      <c r="C61" s="37"/>
      <c r="D61" s="37"/>
      <c r="E61" s="37"/>
      <c r="F61" s="37"/>
      <c r="G61" s="37" t="s">
        <v>64</v>
      </c>
    </row>
    <row r="62" spans="1:7" ht="16.5" customHeight="1">
      <c r="A62" s="27">
        <v>1</v>
      </c>
      <c r="B62" s="30" t="s">
        <v>128</v>
      </c>
      <c r="C62" s="27" t="s">
        <v>13</v>
      </c>
      <c r="D62" s="38">
        <f>數量計算!E35</f>
        <v>461</v>
      </c>
      <c r="E62" s="38"/>
      <c r="F62" s="39"/>
      <c r="G62" s="49" t="s">
        <v>137</v>
      </c>
    </row>
    <row r="63" spans="1:7" ht="16.5" customHeight="1">
      <c r="A63" s="27">
        <v>2</v>
      </c>
      <c r="B63" s="30" t="s">
        <v>116</v>
      </c>
      <c r="C63" s="27" t="s">
        <v>13</v>
      </c>
      <c r="D63" s="38">
        <f>數量計算!E36</f>
        <v>276</v>
      </c>
      <c r="E63" s="39"/>
      <c r="F63" s="39"/>
      <c r="G63" s="49"/>
    </row>
    <row r="64" spans="1:7">
      <c r="A64" s="27">
        <v>3</v>
      </c>
      <c r="B64" s="30" t="s">
        <v>141</v>
      </c>
      <c r="C64" s="27" t="s">
        <v>13</v>
      </c>
      <c r="D64" s="38">
        <f>數量計算!E35</f>
        <v>461</v>
      </c>
      <c r="E64" s="39"/>
      <c r="F64" s="39"/>
      <c r="G64" s="49" t="s">
        <v>65</v>
      </c>
    </row>
    <row r="65" spans="1:7">
      <c r="A65" s="27">
        <v>4</v>
      </c>
      <c r="B65" s="30" t="s">
        <v>100</v>
      </c>
      <c r="C65" s="27" t="s">
        <v>13</v>
      </c>
      <c r="D65" s="38">
        <f>數量計算!E37</f>
        <v>93</v>
      </c>
      <c r="E65" s="39"/>
      <c r="F65" s="39"/>
      <c r="G65" s="49" t="s">
        <v>138</v>
      </c>
    </row>
    <row r="66" spans="1:7">
      <c r="A66" s="27">
        <v>5</v>
      </c>
      <c r="B66" s="30" t="s">
        <v>217</v>
      </c>
      <c r="C66" s="27" t="s">
        <v>13</v>
      </c>
      <c r="D66" s="41">
        <f>6*1.5*3</f>
        <v>27</v>
      </c>
      <c r="E66" s="39"/>
      <c r="F66" s="39"/>
      <c r="G66" s="67"/>
    </row>
    <row r="67" spans="1:7" ht="33">
      <c r="A67" s="27">
        <v>6</v>
      </c>
      <c r="B67" s="64" t="s">
        <v>224</v>
      </c>
      <c r="C67" s="54" t="s">
        <v>13</v>
      </c>
      <c r="D67" s="41">
        <f>數量計算!E38</f>
        <v>96</v>
      </c>
      <c r="E67" s="65"/>
      <c r="F67" s="39"/>
      <c r="G67" s="55" t="s">
        <v>221</v>
      </c>
    </row>
    <row r="68" spans="1:7">
      <c r="A68" s="27">
        <v>7</v>
      </c>
      <c r="B68" s="73" t="s">
        <v>225</v>
      </c>
      <c r="C68" s="72" t="s">
        <v>52</v>
      </c>
      <c r="D68" s="74">
        <v>42</v>
      </c>
      <c r="E68" s="75"/>
      <c r="F68" s="75"/>
      <c r="G68" s="55"/>
    </row>
    <row r="69" spans="1:7">
      <c r="A69" s="34"/>
      <c r="B69" s="32" t="s">
        <v>47</v>
      </c>
      <c r="C69" s="34"/>
      <c r="D69" s="34"/>
      <c r="E69" s="39"/>
      <c r="F69" s="40"/>
      <c r="G69" s="34"/>
    </row>
    <row r="70" spans="1:7">
      <c r="A70" s="32" t="s">
        <v>66</v>
      </c>
      <c r="B70" s="33" t="s">
        <v>67</v>
      </c>
      <c r="C70" s="27"/>
      <c r="D70" s="34"/>
      <c r="E70" s="39"/>
      <c r="F70" s="34"/>
      <c r="G70" s="34"/>
    </row>
    <row r="71" spans="1:7">
      <c r="A71" s="27" t="s">
        <v>8</v>
      </c>
      <c r="B71" s="30" t="s">
        <v>68</v>
      </c>
      <c r="C71" s="34"/>
      <c r="D71" s="34"/>
      <c r="E71" s="39"/>
      <c r="F71" s="34"/>
      <c r="G71" s="34"/>
    </row>
    <row r="72" spans="1:7" s="66" customFormat="1">
      <c r="A72" s="54">
        <v>1</v>
      </c>
      <c r="B72" s="64" t="s">
        <v>103</v>
      </c>
      <c r="C72" s="54" t="s">
        <v>13</v>
      </c>
      <c r="D72" s="56">
        <f>數量計算!E41+數量計算!E38</f>
        <v>205</v>
      </c>
      <c r="E72" s="65"/>
      <c r="F72" s="65"/>
      <c r="G72" s="55"/>
    </row>
    <row r="73" spans="1:7" s="66" customFormat="1">
      <c r="A73" s="54">
        <v>2</v>
      </c>
      <c r="B73" s="64" t="s">
        <v>104</v>
      </c>
      <c r="C73" s="54" t="s">
        <v>11</v>
      </c>
      <c r="D73" s="56">
        <f>數量計算!E42</f>
        <v>187</v>
      </c>
      <c r="E73" s="65"/>
      <c r="F73" s="65"/>
      <c r="G73" s="55"/>
    </row>
    <row r="74" spans="1:7" s="66" customFormat="1">
      <c r="A74" s="54">
        <v>3</v>
      </c>
      <c r="B74" s="64" t="s">
        <v>69</v>
      </c>
      <c r="C74" s="54" t="s">
        <v>70</v>
      </c>
      <c r="D74" s="56">
        <v>4</v>
      </c>
      <c r="E74" s="65"/>
      <c r="F74" s="65"/>
      <c r="G74" s="55" t="s">
        <v>65</v>
      </c>
    </row>
    <row r="75" spans="1:7" s="66" customFormat="1">
      <c r="A75" s="54"/>
      <c r="B75" s="64" t="s">
        <v>105</v>
      </c>
      <c r="C75" s="57"/>
      <c r="D75" s="57"/>
      <c r="E75" s="65"/>
      <c r="F75" s="65"/>
      <c r="G75" s="55" t="s">
        <v>71</v>
      </c>
    </row>
    <row r="76" spans="1:7" s="66" customFormat="1" ht="33">
      <c r="A76" s="54">
        <v>4</v>
      </c>
      <c r="B76" s="64" t="s">
        <v>200</v>
      </c>
      <c r="C76" s="54" t="s">
        <v>13</v>
      </c>
      <c r="D76" s="56">
        <f>數量計算!E44</f>
        <v>1160</v>
      </c>
      <c r="E76" s="65"/>
      <c r="F76" s="65"/>
      <c r="G76" s="55" t="s">
        <v>228</v>
      </c>
    </row>
    <row r="77" spans="1:7">
      <c r="A77" s="27">
        <v>5</v>
      </c>
      <c r="B77" s="30" t="s">
        <v>130</v>
      </c>
      <c r="C77" s="27" t="s">
        <v>129</v>
      </c>
      <c r="D77" s="41">
        <v>1</v>
      </c>
      <c r="E77" s="39"/>
      <c r="F77" s="39"/>
      <c r="G77" s="49"/>
    </row>
    <row r="78" spans="1:7">
      <c r="A78" s="27">
        <v>6</v>
      </c>
      <c r="B78" s="30" t="s">
        <v>131</v>
      </c>
      <c r="C78" s="27" t="s">
        <v>129</v>
      </c>
      <c r="D78" s="41">
        <v>1</v>
      </c>
      <c r="E78" s="39"/>
      <c r="F78" s="39"/>
      <c r="G78" s="49"/>
    </row>
    <row r="79" spans="1:7">
      <c r="A79" s="34"/>
      <c r="B79" s="32" t="s">
        <v>47</v>
      </c>
      <c r="C79" s="34"/>
      <c r="D79" s="34"/>
      <c r="E79" s="39"/>
      <c r="F79" s="40"/>
      <c r="G79" s="34"/>
    </row>
    <row r="80" spans="1:7">
      <c r="A80" s="27" t="s">
        <v>14</v>
      </c>
      <c r="B80" s="30" t="s">
        <v>72</v>
      </c>
      <c r="C80" s="34"/>
      <c r="D80" s="34"/>
      <c r="E80" s="39"/>
      <c r="F80" s="34"/>
      <c r="G80" s="34"/>
    </row>
    <row r="81" spans="1:7" ht="66">
      <c r="A81" s="27">
        <v>1</v>
      </c>
      <c r="B81" s="30" t="s">
        <v>132</v>
      </c>
      <c r="C81" s="27" t="s">
        <v>129</v>
      </c>
      <c r="D81" s="38">
        <v>1</v>
      </c>
      <c r="E81" s="39"/>
      <c r="F81" s="39"/>
      <c r="G81" s="49" t="s">
        <v>101</v>
      </c>
    </row>
    <row r="82" spans="1:7" ht="33">
      <c r="A82" s="27">
        <v>2</v>
      </c>
      <c r="B82" s="30" t="s">
        <v>133</v>
      </c>
      <c r="C82" s="27" t="s">
        <v>129</v>
      </c>
      <c r="D82" s="38">
        <v>1</v>
      </c>
      <c r="E82" s="39"/>
      <c r="F82" s="39"/>
      <c r="G82" s="49" t="s">
        <v>101</v>
      </c>
    </row>
    <row r="83" spans="1:7">
      <c r="A83" s="27">
        <v>3</v>
      </c>
      <c r="B83" s="30" t="s">
        <v>73</v>
      </c>
      <c r="C83" s="27" t="s">
        <v>70</v>
      </c>
      <c r="D83" s="38">
        <v>4</v>
      </c>
      <c r="E83" s="39"/>
      <c r="F83" s="39"/>
      <c r="G83" s="34"/>
    </row>
    <row r="84" spans="1:7">
      <c r="A84" s="34"/>
      <c r="B84" s="32" t="s">
        <v>47</v>
      </c>
      <c r="C84" s="34"/>
      <c r="D84" s="34"/>
      <c r="E84" s="34"/>
      <c r="F84" s="40"/>
      <c r="G84" s="34"/>
    </row>
    <row r="85" spans="1:7">
      <c r="A85" s="42"/>
      <c r="B85" s="42"/>
      <c r="C85" s="42"/>
      <c r="D85" s="42"/>
      <c r="E85" s="42"/>
      <c r="F85" s="42"/>
      <c r="G85" s="42"/>
    </row>
  </sheetData>
  <mergeCells count="2">
    <mergeCell ref="B1:G1"/>
    <mergeCell ref="B2:G2"/>
  </mergeCells>
  <phoneticPr fontId="6" type="noConversion"/>
  <pageMargins left="0.59055118110236215" right="0.59055118110236215" top="0.59055118110236215" bottom="0.59055118110236215" header="0" footer="0.19685039370078741"/>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4"/>
  <sheetViews>
    <sheetView tabSelected="1" topLeftCell="A31" zoomScaleNormal="100" workbookViewId="0">
      <selection activeCell="C47" sqref="C47"/>
    </sheetView>
  </sheetViews>
  <sheetFormatPr defaultRowHeight="15.75"/>
  <cols>
    <col min="1" max="1" width="6.28515625" style="23" bestFit="1" customWidth="1"/>
    <col min="2" max="2" width="51.85546875" style="23" customWidth="1"/>
    <col min="3" max="3" width="160.7109375" style="23" customWidth="1"/>
    <col min="4" max="4" width="7.7109375" style="23" bestFit="1" customWidth="1"/>
    <col min="5" max="5" width="15.140625" style="23" bestFit="1" customWidth="1"/>
    <col min="6" max="6" width="35.7109375" style="23" customWidth="1"/>
  </cols>
  <sheetData>
    <row r="1" spans="1:8" ht="19.5">
      <c r="A1" s="1" t="s">
        <v>0</v>
      </c>
      <c r="B1" s="2" t="s">
        <v>1</v>
      </c>
      <c r="C1" s="3" t="s">
        <v>2</v>
      </c>
      <c r="D1" s="3" t="s">
        <v>3</v>
      </c>
      <c r="E1" s="4" t="s">
        <v>4</v>
      </c>
      <c r="F1" s="4" t="s">
        <v>5</v>
      </c>
    </row>
    <row r="2" spans="1:8" ht="16.5">
      <c r="A2" s="5" t="s">
        <v>6</v>
      </c>
      <c r="B2" s="78" t="s">
        <v>102</v>
      </c>
      <c r="C2" s="78"/>
      <c r="D2" s="78"/>
      <c r="E2" s="78"/>
      <c r="F2" s="78"/>
    </row>
    <row r="3" spans="1:8" ht="16.5">
      <c r="A3" s="5" t="s">
        <v>8</v>
      </c>
      <c r="B3" s="78" t="s">
        <v>9</v>
      </c>
      <c r="C3" s="78"/>
      <c r="D3" s="78"/>
      <c r="E3" s="78"/>
      <c r="F3" s="78"/>
    </row>
    <row r="4" spans="1:8" ht="16.5">
      <c r="A4" s="1">
        <v>2</v>
      </c>
      <c r="B4" s="21" t="s">
        <v>10</v>
      </c>
      <c r="C4" s="21" t="s">
        <v>220</v>
      </c>
      <c r="D4" s="1" t="s">
        <v>11</v>
      </c>
      <c r="E4" s="6">
        <f>ROUNDUP(2.25+7+95,0)</f>
        <v>105</v>
      </c>
      <c r="F4" s="22"/>
    </row>
    <row r="5" spans="1:8" ht="16.5">
      <c r="A5" s="1">
        <v>5</v>
      </c>
      <c r="B5" s="21" t="s">
        <v>12</v>
      </c>
      <c r="C5" s="21" t="s">
        <v>143</v>
      </c>
      <c r="D5" s="1" t="s">
        <v>13</v>
      </c>
      <c r="E5" s="6">
        <f>ROUNDUP(1.8*1.83*(2*4+6*3)*ROUNDDOWN(15.15/1.83,0),0)</f>
        <v>686</v>
      </c>
      <c r="F5" s="22"/>
    </row>
    <row r="6" spans="1:8" ht="16.5">
      <c r="A6" s="5" t="s">
        <v>109</v>
      </c>
      <c r="B6" s="78" t="s">
        <v>125</v>
      </c>
      <c r="C6" s="78"/>
      <c r="D6" s="78"/>
      <c r="E6" s="78"/>
      <c r="F6" s="78"/>
    </row>
    <row r="7" spans="1:8" ht="16.5">
      <c r="A7" s="1">
        <v>1</v>
      </c>
      <c r="B7" s="21" t="s">
        <v>48</v>
      </c>
      <c r="C7" s="24" t="s">
        <v>164</v>
      </c>
      <c r="D7" s="25" t="s">
        <v>11</v>
      </c>
      <c r="E7" s="6">
        <f>ROUNDUP(6*3*4+2*6*4*1+3*6*2*(1+1.2),0)</f>
        <v>200</v>
      </c>
      <c r="F7" s="22"/>
    </row>
    <row r="8" spans="1:8" ht="16.5">
      <c r="A8" s="1">
        <v>2</v>
      </c>
      <c r="B8" s="21" t="s">
        <v>126</v>
      </c>
      <c r="C8" s="24" t="s">
        <v>165</v>
      </c>
      <c r="D8" s="25" t="s">
        <v>13</v>
      </c>
      <c r="E8" s="6">
        <f>ROUNDUP(6*3*3+2*6*4*1*0.3+3*6*(1*1.2-0.4*0.5),0)</f>
        <v>87</v>
      </c>
      <c r="F8" s="6"/>
    </row>
    <row r="9" spans="1:8" ht="16.5">
      <c r="A9" s="1">
        <v>3</v>
      </c>
      <c r="B9" s="21" t="s">
        <v>50</v>
      </c>
      <c r="C9" s="24" t="s">
        <v>166</v>
      </c>
      <c r="D9" s="25" t="s">
        <v>19</v>
      </c>
      <c r="E9" s="6">
        <f>ROUNDUP(6*3*3*1+2*6*4*1*0.3*0.24+3*6*(1*1.2-0.4*0.5)*0.12,0)</f>
        <v>60</v>
      </c>
      <c r="F9" s="9" t="s">
        <v>51</v>
      </c>
    </row>
    <row r="10" spans="1:8" ht="33" customHeight="1">
      <c r="A10" s="1">
        <v>6</v>
      </c>
      <c r="B10" s="24" t="s">
        <v>135</v>
      </c>
      <c r="C10" s="24" t="s">
        <v>144</v>
      </c>
      <c r="D10" s="1" t="s">
        <v>15</v>
      </c>
      <c r="E10" s="38">
        <f>6*ROUND(0.8/0.1,0)*6*4</f>
        <v>1152</v>
      </c>
      <c r="F10" s="26" t="s">
        <v>118</v>
      </c>
    </row>
    <row r="11" spans="1:8" ht="16.5">
      <c r="A11" s="1">
        <v>7</v>
      </c>
      <c r="B11" s="21" t="s">
        <v>181</v>
      </c>
      <c r="C11" s="24" t="s">
        <v>168</v>
      </c>
      <c r="D11" s="1" t="s">
        <v>16</v>
      </c>
      <c r="E11" s="6">
        <f>ROUNDUP(6*20*(15.15+1+1.05-0.15)*6.39/1000,1)</f>
        <v>13.1</v>
      </c>
      <c r="F11" s="22"/>
    </row>
    <row r="12" spans="1:8" ht="49.5">
      <c r="A12" s="1">
        <v>8</v>
      </c>
      <c r="B12" s="45" t="s">
        <v>182</v>
      </c>
      <c r="C12" s="24" t="s">
        <v>167</v>
      </c>
      <c r="D12" s="1" t="s">
        <v>16</v>
      </c>
      <c r="E12" s="6">
        <f>ROUNDUP(6*ROUNDUP((15.15+1+1.05-0.15-0.6*3)/0.1,0)*(4*(1.1+0.084+0.078)+4*(0.9+0.084+0.078)+2*(1.1+0.9+0.084+0.078))*0.994/1000,1)+6*ROUNDUP((0.6*3)/0.1,0)*ROUNDUP((4*(0.26+0.084+0.078)+4*(0.45+0.084+0.078)+2*(1.1+0.9+0.084+0.078-3*0.3+6*0.15))*0.994/1000,1)</f>
        <v>23.3</v>
      </c>
      <c r="F12" s="53"/>
    </row>
    <row r="13" spans="1:8" ht="16.5">
      <c r="A13" s="25">
        <v>9</v>
      </c>
      <c r="B13" s="21" t="s">
        <v>119</v>
      </c>
      <c r="C13" s="24" t="s">
        <v>169</v>
      </c>
      <c r="D13" s="1" t="s">
        <v>17</v>
      </c>
      <c r="E13" s="6">
        <f>6*20*3</f>
        <v>360</v>
      </c>
      <c r="F13" s="22"/>
      <c r="H13">
        <f>6*ROUNDUP((0.6*3)/0.1,0)*ROUNDUP((4*(0.26+0.084+0.078)+4*(0.45+0.084+0.078)+2*(1.1+0.9+0.084+0.078-3*0.3+6*0.15))*0.994/1000,1)</f>
        <v>10.8</v>
      </c>
    </row>
    <row r="14" spans="1:8" s="62" customFormat="1" ht="16.5">
      <c r="A14" s="1">
        <v>10</v>
      </c>
      <c r="B14" s="45" t="s">
        <v>18</v>
      </c>
      <c r="C14" s="45" t="s">
        <v>171</v>
      </c>
      <c r="D14" s="25" t="s">
        <v>13</v>
      </c>
      <c r="E14" s="60">
        <f>ROUNDUP(6*15.15*2*(1+1.2),0)</f>
        <v>400</v>
      </c>
      <c r="F14" s="61"/>
    </row>
    <row r="15" spans="1:8" ht="19.5">
      <c r="A15" s="1">
        <v>11</v>
      </c>
      <c r="B15" s="21" t="s">
        <v>173</v>
      </c>
      <c r="C15" s="24" t="s">
        <v>172</v>
      </c>
      <c r="D15" s="1" t="s">
        <v>19</v>
      </c>
      <c r="E15" s="6">
        <f>ROUNDUP(6*15.15*(1*1.2-0.4*0.5),0)</f>
        <v>91</v>
      </c>
      <c r="F15" s="9"/>
    </row>
    <row r="16" spans="1:8" ht="16.5">
      <c r="A16" s="1">
        <v>13</v>
      </c>
      <c r="B16" s="21" t="s">
        <v>25</v>
      </c>
      <c r="C16" s="24" t="s">
        <v>174</v>
      </c>
      <c r="D16" s="1" t="s">
        <v>19</v>
      </c>
      <c r="E16" s="6">
        <f>ROUNDUP(6*0.2*(1*1.2-0.4*0.5),1)</f>
        <v>1.2</v>
      </c>
      <c r="F16" s="9"/>
    </row>
    <row r="17" spans="1:6" ht="16.5">
      <c r="A17" s="1">
        <v>14</v>
      </c>
      <c r="B17" s="24" t="s">
        <v>183</v>
      </c>
      <c r="C17" s="24" t="s">
        <v>175</v>
      </c>
      <c r="D17" s="1" t="s">
        <v>19</v>
      </c>
      <c r="E17" s="6">
        <f>ROUNDUP(6*3*3*1,0)</f>
        <v>54</v>
      </c>
      <c r="F17" s="9"/>
    </row>
    <row r="18" spans="1:6" ht="16.5">
      <c r="A18" s="1">
        <v>15</v>
      </c>
      <c r="B18" s="45" t="s">
        <v>184</v>
      </c>
      <c r="C18" s="24" t="s">
        <v>178</v>
      </c>
      <c r="D18" s="1" t="s">
        <v>16</v>
      </c>
      <c r="E18" s="6">
        <f>ROUNDUP(6*(ROUNDUP(3/0.15,0)*(3+0.4*2)*2*1.56/1000+ROUNDUP(3/0.15,0)*(3+0.3*2)*2*0.994/1000),1)</f>
        <v>2.3000000000000003</v>
      </c>
      <c r="F18" s="9"/>
    </row>
    <row r="19" spans="1:6" ht="16.5">
      <c r="A19" s="1">
        <v>16</v>
      </c>
      <c r="B19" s="24" t="s">
        <v>185</v>
      </c>
      <c r="C19" s="24" t="s">
        <v>175</v>
      </c>
      <c r="D19" s="1" t="s">
        <v>19</v>
      </c>
      <c r="E19" s="6">
        <f>ROUNDUP(6*3*3*1,0)</f>
        <v>54</v>
      </c>
      <c r="F19" s="9" t="s">
        <v>136</v>
      </c>
    </row>
    <row r="20" spans="1:6" ht="16.5">
      <c r="A20" s="1">
        <v>17</v>
      </c>
      <c r="B20" s="24" t="s">
        <v>123</v>
      </c>
      <c r="C20" s="24" t="s">
        <v>176</v>
      </c>
      <c r="D20" s="1" t="s">
        <v>17</v>
      </c>
      <c r="E20" s="6">
        <f>4*(4*3+2*3)</f>
        <v>72</v>
      </c>
      <c r="F20" s="9"/>
    </row>
    <row r="21" spans="1:6" ht="16.5">
      <c r="A21" s="5" t="s">
        <v>114</v>
      </c>
      <c r="B21" s="78" t="s">
        <v>151</v>
      </c>
      <c r="C21" s="78"/>
      <c r="D21" s="78"/>
      <c r="E21" s="79"/>
      <c r="F21" s="78"/>
    </row>
    <row r="22" spans="1:6" ht="16.5">
      <c r="A22" s="1">
        <v>1</v>
      </c>
      <c r="B22" s="24" t="s">
        <v>152</v>
      </c>
      <c r="C22" s="45" t="s">
        <v>201</v>
      </c>
      <c r="D22" s="1" t="s">
        <v>11</v>
      </c>
      <c r="E22" s="38">
        <f>ROUNDUP(3*2*2*(0.3+0.7)+2*2*4*1+2*1.2*4,0)</f>
        <v>38</v>
      </c>
      <c r="F22" s="22"/>
    </row>
    <row r="23" spans="1:6" ht="16.5">
      <c r="A23" s="1">
        <v>2</v>
      </c>
      <c r="B23" s="24" t="s">
        <v>153</v>
      </c>
      <c r="C23" s="45" t="s">
        <v>202</v>
      </c>
      <c r="D23" s="1" t="s">
        <v>99</v>
      </c>
      <c r="E23" s="38">
        <f>ROUNDUP(3*2*0.3*0.7+2*4*1*0.7+2*1.2*1.2,0)</f>
        <v>10</v>
      </c>
      <c r="F23" s="80"/>
    </row>
    <row r="24" spans="1:6" ht="16.5">
      <c r="A24" s="1">
        <v>3</v>
      </c>
      <c r="B24" s="24" t="s">
        <v>154</v>
      </c>
      <c r="C24" s="45" t="s">
        <v>203</v>
      </c>
      <c r="D24" s="1" t="s">
        <v>155</v>
      </c>
      <c r="E24" s="38">
        <f>ROUNDUP(3*2*0.3*0.7*0.12+2*4*1*0.7*0.24+2*1.2*1.2*1,0)</f>
        <v>5</v>
      </c>
      <c r="F24" s="80"/>
    </row>
    <row r="25" spans="1:6" ht="16.5">
      <c r="A25" s="54">
        <v>6.1</v>
      </c>
      <c r="B25" s="55" t="s">
        <v>156</v>
      </c>
      <c r="C25" s="55" t="s">
        <v>170</v>
      </c>
      <c r="D25" s="54" t="s">
        <v>15</v>
      </c>
      <c r="E25" s="56">
        <f>2*2*(ROUNDUP((15.15-0.12)/0.15,0))</f>
        <v>404</v>
      </c>
      <c r="F25" s="57"/>
    </row>
    <row r="26" spans="1:6" ht="16.5">
      <c r="A26" s="54">
        <v>6.2</v>
      </c>
      <c r="B26" s="55" t="s">
        <v>157</v>
      </c>
      <c r="C26" s="55" t="s">
        <v>204</v>
      </c>
      <c r="D26" s="54" t="s">
        <v>15</v>
      </c>
      <c r="E26" s="56">
        <f>2*4*4*ROUNDUP(0.7/0.1,0)</f>
        <v>224</v>
      </c>
      <c r="F26" s="57"/>
    </row>
    <row r="27" spans="1:6" ht="33">
      <c r="A27" s="54">
        <v>7</v>
      </c>
      <c r="B27" s="55" t="s">
        <v>158</v>
      </c>
      <c r="C27" s="58" t="s">
        <v>205</v>
      </c>
      <c r="D27" s="54" t="s">
        <v>16</v>
      </c>
      <c r="E27" s="56">
        <f>ROUNDUP(2*(ROUNDUP((15.15-0.12)/0.15,0))*2*(0.75+0.25)*0.994/1000+2*2*ROUNDUP(0.7/0.1-1,0)*(15.15+1.5)*0.994/1000+2*2*(ROUNDUP((15.15-0.12)/0.15,0)+2*4*4*ROUNDUP(0.7/0.1-1,0))*(0.3+0.15)*0.994/1000,1)</f>
        <v>1.4000000000000001</v>
      </c>
      <c r="F27" s="57"/>
    </row>
    <row r="28" spans="1:6" s="62" customFormat="1" ht="16.5">
      <c r="A28" s="54">
        <v>8</v>
      </c>
      <c r="B28" s="55" t="s">
        <v>18</v>
      </c>
      <c r="C28" s="45" t="s">
        <v>206</v>
      </c>
      <c r="D28" s="54" t="s">
        <v>13</v>
      </c>
      <c r="E28" s="56">
        <f>ROUNDUP(2*2*15.15*0.7+2*15.15*0.3,0)</f>
        <v>52</v>
      </c>
      <c r="F28" s="57"/>
    </row>
    <row r="29" spans="1:6" ht="33">
      <c r="A29" s="54">
        <v>9</v>
      </c>
      <c r="B29" s="55" t="s">
        <v>159</v>
      </c>
      <c r="C29" s="55" t="s">
        <v>207</v>
      </c>
      <c r="D29" s="54" t="s">
        <v>19</v>
      </c>
      <c r="E29" s="56">
        <f>ROUNDUP(2*15.15*0.7*0.3,0)</f>
        <v>7</v>
      </c>
      <c r="F29" s="57"/>
    </row>
    <row r="30" spans="1:6" ht="16.5">
      <c r="A30" s="54">
        <v>10</v>
      </c>
      <c r="B30" s="55" t="s">
        <v>160</v>
      </c>
      <c r="C30" s="55" t="s">
        <v>208</v>
      </c>
      <c r="D30" s="54" t="s">
        <v>19</v>
      </c>
      <c r="E30" s="56">
        <f>ROUNDUP(2*0.3*0.7*0.2,1)</f>
        <v>0.1</v>
      </c>
      <c r="F30" s="57"/>
    </row>
    <row r="31" spans="1:6" ht="16.5">
      <c r="A31" s="54">
        <v>11</v>
      </c>
      <c r="B31" s="55" t="s">
        <v>20</v>
      </c>
      <c r="C31" s="55" t="s">
        <v>177</v>
      </c>
      <c r="D31" s="54" t="s">
        <v>19</v>
      </c>
      <c r="E31" s="56">
        <f>ROUNDUP(2*1.2*1.2*1,0)</f>
        <v>3</v>
      </c>
      <c r="F31" s="58" t="s">
        <v>161</v>
      </c>
    </row>
    <row r="32" spans="1:6" ht="34.5" customHeight="1">
      <c r="A32" s="54">
        <v>12</v>
      </c>
      <c r="B32" s="55" t="s">
        <v>162</v>
      </c>
      <c r="C32" s="55" t="s">
        <v>179</v>
      </c>
      <c r="D32" s="54" t="s">
        <v>16</v>
      </c>
      <c r="E32" s="59">
        <f>ROUNDUP(2*(ROUNDUP(1.2/0.15,0)*(1.2+0.4*2)*2*1.56/1000+ROUNDUP(1.2/0.15,0)*(1.2+0.3*2)*2*0.994/1000),1)</f>
        <v>0.2</v>
      </c>
      <c r="F32" s="58" t="s">
        <v>163</v>
      </c>
    </row>
    <row r="33" spans="1:6" ht="16.5">
      <c r="A33" s="1">
        <v>13</v>
      </c>
      <c r="B33" s="24" t="s">
        <v>57</v>
      </c>
      <c r="C33" s="8" t="s">
        <v>180</v>
      </c>
      <c r="D33" s="1" t="s">
        <v>19</v>
      </c>
      <c r="E33" s="38">
        <f>ROUNDUP(2*1.1*1.2*1,0)</f>
        <v>3</v>
      </c>
      <c r="F33" s="9" t="s">
        <v>149</v>
      </c>
    </row>
    <row r="34" spans="1:6" ht="16.5">
      <c r="A34" s="5" t="s">
        <v>150</v>
      </c>
      <c r="B34" s="78" t="s">
        <v>22</v>
      </c>
      <c r="C34" s="78"/>
      <c r="D34" s="78"/>
      <c r="E34" s="78"/>
      <c r="F34" s="78"/>
    </row>
    <row r="35" spans="1:6" ht="16.5">
      <c r="A35" s="1">
        <v>1</v>
      </c>
      <c r="B35" s="21" t="s">
        <v>112</v>
      </c>
      <c r="C35" s="24" t="s">
        <v>209</v>
      </c>
      <c r="D35" s="20" t="s">
        <v>99</v>
      </c>
      <c r="E35" s="6">
        <f>ROUNDUP(6*15.15*2*(1+1.2)+2*15.15*2*(0.7+0.3),0)</f>
        <v>461</v>
      </c>
      <c r="F35" s="9" t="s">
        <v>23</v>
      </c>
    </row>
    <row r="36" spans="1:6" ht="16.5">
      <c r="A36" s="1">
        <v>3</v>
      </c>
      <c r="B36" s="21" t="s">
        <v>115</v>
      </c>
      <c r="C36" s="24" t="s">
        <v>210</v>
      </c>
      <c r="D36" s="20" t="s">
        <v>99</v>
      </c>
      <c r="E36" s="6">
        <f>ROUNDUP(6*15.15*(1+1.1+2*0.3)+2*15.15*(0.7+0.3),0)</f>
        <v>276</v>
      </c>
      <c r="F36" s="9" t="s">
        <v>23</v>
      </c>
    </row>
    <row r="37" spans="1:6" ht="16.5">
      <c r="A37" s="1">
        <v>5</v>
      </c>
      <c r="B37" s="24" t="s">
        <v>24</v>
      </c>
      <c r="C37" s="24" t="s">
        <v>211</v>
      </c>
      <c r="D37" s="46" t="s">
        <v>99</v>
      </c>
      <c r="E37" s="6">
        <f>ROUNDUP(6*4*(1.2*1.4-0.4*0.5)+(3*3-0.4*0.5)*6+2*4*(0.5*0.9-0.3*0.7)+(1.2*1.2-0.3*0.8)*2,0)</f>
        <v>93</v>
      </c>
      <c r="F37" s="9" t="s">
        <v>23</v>
      </c>
    </row>
    <row r="38" spans="1:6" ht="63">
      <c r="A38" s="1">
        <v>6</v>
      </c>
      <c r="B38" s="24" t="s">
        <v>224</v>
      </c>
      <c r="C38" s="9" t="s">
        <v>227</v>
      </c>
      <c r="D38" s="1" t="s">
        <v>13</v>
      </c>
      <c r="E38" s="69">
        <f>8*ROUNDUP(3.9*0.3+0.3*0.9+2*1+0.25*0.7+0.9*0.3+0.3*0.9+0.8*0.9+0.3*0.3+0.4*0.6+1.8*2+0.3*0.9+0.3*3.2+1.5*0.9,0)</f>
        <v>96</v>
      </c>
      <c r="F38" s="63" t="s">
        <v>226</v>
      </c>
    </row>
    <row r="39" spans="1:6" ht="16.5">
      <c r="A39" s="5" t="s">
        <v>66</v>
      </c>
      <c r="B39" s="71" t="s">
        <v>67</v>
      </c>
      <c r="C39" s="1"/>
      <c r="D39" s="8"/>
      <c r="E39" s="70"/>
      <c r="F39" s="8"/>
    </row>
    <row r="40" spans="1:6" ht="16.5">
      <c r="A40" s="1" t="s">
        <v>8</v>
      </c>
      <c r="B40" s="24" t="s">
        <v>68</v>
      </c>
      <c r="C40" s="22"/>
      <c r="D40" s="8"/>
      <c r="E40" s="70"/>
      <c r="F40" s="8"/>
    </row>
    <row r="41" spans="1:6" ht="96" customHeight="1">
      <c r="A41" s="1">
        <v>1</v>
      </c>
      <c r="B41" s="24" t="s">
        <v>103</v>
      </c>
      <c r="C41" s="9" t="s">
        <v>196</v>
      </c>
      <c r="D41" s="1" t="s">
        <v>13</v>
      </c>
      <c r="E41" s="69">
        <f>ROUNDUP(2.5*0.4+2*0.5+8*1.2+4*0.6+0.15*0.25+4*2.5+2*1.2+1.6*1.2*2.5*0.7+1*0.45+2*3.6+2*2.5+4*0.1+5*0.1+4*1+0.6*2.2+2*0.3+0.2*0.3+0.3*0.9+2*1+0.9*0.3+3*2+1.5*2.5+0.8*0.9+4*2+0.3*0.3+0.4*0.6+1.8*2+0.3*0.9+0.75*1+1.7*0.2+4*2+0.3*3.2+0.8*2+1.8*0.45+2.4*0.2+1.8*0.45+1.5*0.9+0.25*0.45+7.5*2.5,0)</f>
        <v>109</v>
      </c>
      <c r="F41" s="48" t="s">
        <v>194</v>
      </c>
    </row>
    <row r="42" spans="1:6" ht="78.75" customHeight="1">
      <c r="A42" s="1">
        <v>2</v>
      </c>
      <c r="B42" s="24" t="s">
        <v>104</v>
      </c>
      <c r="C42" s="9" t="s">
        <v>216</v>
      </c>
      <c r="D42" s="1" t="s">
        <v>11</v>
      </c>
      <c r="E42" s="69">
        <f>ROUNDUP(2.5+8*0.35+0.35+0.5+0.7+2*0.3+0.5+2*4+4+1+0.8+1.7+0.45+2+2*0.2+0.5+1.2+2.7+2.6+1.2+0.3+0.2+0.3+0.6+0.45+2.6+2+3+1.8+2.5+0.7+1+1.8+2+1.5+2+0.6+1.6+1.5+1+2*0.6+0.75+3.5+1.8+2.4+0.45,0)+6*ROUNDUP(3.9+0.9+2+0.7+0.9+0.9+0.9+0.3+0.6+1.8+0.9+3.2+1.5,0)</f>
        <v>187</v>
      </c>
      <c r="F42" s="48" t="s">
        <v>195</v>
      </c>
    </row>
    <row r="43" spans="1:6" ht="31.5" hidden="1">
      <c r="A43" s="1">
        <v>4</v>
      </c>
      <c r="B43" s="24" t="s">
        <v>198</v>
      </c>
      <c r="C43" s="9" t="s">
        <v>199</v>
      </c>
      <c r="D43" s="1" t="s">
        <v>13</v>
      </c>
      <c r="E43" s="47">
        <f>ROUNDUP(94.4*(8+2.5)+2*2*94.4*(0.6-0.12)+2*2*94.4*(0.5-0.12)+20*8*(0.8-0.12)+2*20*2.5*(0.6-0.12),0)</f>
        <v>1473</v>
      </c>
      <c r="F43" s="63" t="s">
        <v>197</v>
      </c>
    </row>
    <row r="44" spans="1:6" ht="16.5">
      <c r="A44" s="25">
        <v>4</v>
      </c>
      <c r="B44" s="55" t="s">
        <v>200</v>
      </c>
      <c r="C44" s="8" t="s">
        <v>218</v>
      </c>
      <c r="D44" s="1" t="s">
        <v>13</v>
      </c>
      <c r="E44" s="69">
        <f>ROUNDUP(1.1*94.4*(8+2.5)+1.1*(2*94.4+2*(8+2.5))*0.3,0)</f>
        <v>1160</v>
      </c>
      <c r="F44" s="8"/>
    </row>
  </sheetData>
  <mergeCells count="6">
    <mergeCell ref="B6:F6"/>
    <mergeCell ref="B34:F34"/>
    <mergeCell ref="B2:F2"/>
    <mergeCell ref="B3:F3"/>
    <mergeCell ref="B21:F21"/>
    <mergeCell ref="F23:F24"/>
  </mergeCells>
  <phoneticPr fontId="6" type="noConversion"/>
  <pageMargins left="0.59055118110236215" right="0.59055118110236215" top="0.59055118110236215" bottom="0.59055118110236215" header="0" footer="0.19685039370078741"/>
  <pageSetup paperSize="8"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4</vt:i4>
      </vt:variant>
    </vt:vector>
  </HeadingPairs>
  <TitlesOfParts>
    <vt:vector size="7" baseType="lpstr">
      <vt:lpstr>總表</vt:lpstr>
      <vt:lpstr>詳細價目表</vt:lpstr>
      <vt:lpstr>數量計算</vt:lpstr>
      <vt:lpstr>詳細價目表!Print_Area</vt:lpstr>
      <vt:lpstr>數量計算!Print_Area</vt:lpstr>
      <vt:lpstr>總表!Print_Area</vt:lpstr>
      <vt:lpstr>詳細價目表!Print_Titles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dc:creator>
  <cp:lastModifiedBy>KHUser</cp:lastModifiedBy>
  <cp:lastPrinted>2025-03-12T11:33:55Z</cp:lastPrinted>
  <dcterms:created xsi:type="dcterms:W3CDTF">2015-06-05T18:19:34Z</dcterms:created>
  <dcterms:modified xsi:type="dcterms:W3CDTF">2025-03-12T14:46:13Z</dcterms:modified>
</cp:coreProperties>
</file>